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HNHIEN\BC HĐ ND 6 THANG CUOI NAM 2024\"/>
    </mc:Choice>
  </mc:AlternateContent>
  <xr:revisionPtr revIDLastSave="0" documentId="13_ncr:1_{20DD3013-9B8F-4AC8-AE6B-AE1EBB6CD7B3}" xr6:coauthVersionLast="47" xr6:coauthVersionMax="47" xr10:uidLastSave="{00000000-0000-0000-0000-000000000000}"/>
  <bookViews>
    <workbookView xWindow="-120" yWindow="-120" windowWidth="20730" windowHeight="11160" tabRatio="602" activeTab="1" xr2:uid="{00000000-000D-0000-FFFF-FFFF00000000}"/>
  </bookViews>
  <sheets>
    <sheet name="34" sheetId="60" r:id="rId1"/>
    <sheet name="37" sheetId="59" r:id="rId2"/>
    <sheet name="15-CK" sheetId="7" r:id="rId3"/>
    <sheet name="30-CK" sheetId="8" r:id="rId4"/>
    <sheet name="16-CK" sheetId="3" r:id="rId5"/>
    <sheet name="17-CK" sheetId="58" r:id="rId6"/>
    <sheet name="33" sheetId="55" r:id="rId7"/>
    <sheet name="39-CK" sheetId="38" r:id="rId8"/>
    <sheet name="42" sheetId="57" r:id="rId9"/>
    <sheet name="32" sheetId="53" r:id="rId10"/>
  </sheets>
  <externalReferences>
    <externalReference r:id="rId11"/>
    <externalReference r:id="rId12"/>
  </externalReferences>
  <definedNames>
    <definedName name="_xlnm.Print_Area" localSheetId="2">'15-CK'!$A$3:$G$31</definedName>
    <definedName name="_xlnm.Print_Area" localSheetId="4">'16-CK'!$A$1:$H$21</definedName>
    <definedName name="_xlnm.Print_Area" localSheetId="5">'17-CK'!$A$1:$F$44</definedName>
    <definedName name="_xlnm.Print_Area" localSheetId="3">'30-CK'!$A$3:$G$37</definedName>
    <definedName name="_xlnm.Print_Area" localSheetId="9">'32'!$A$1:$G$18</definedName>
    <definedName name="_xlnm.Print_Area" localSheetId="6">'33'!$A$1:$E$41</definedName>
    <definedName name="_xlnm.Print_Area" localSheetId="0">'34'!$A$1:$D$44</definedName>
    <definedName name="_xlnm.Print_Area" localSheetId="1">'37'!$A$1:$Q$79</definedName>
    <definedName name="_xlnm.Print_Area" localSheetId="7">'39-CK'!$A$1:$J$18</definedName>
    <definedName name="_xlnm.Print_Area" localSheetId="8">'42'!$A$1:$J$21</definedName>
    <definedName name="_xlnm.Print_Titles" localSheetId="2">'15-CK'!$8:$9</definedName>
    <definedName name="_xlnm.Print_Titles" localSheetId="4">'16-CK'!$7:$8</definedName>
    <definedName name="_xlnm.Print_Titles" localSheetId="5">'17-CK'!$5:$7</definedName>
    <definedName name="_xlnm.Print_Titles" localSheetId="3">'30-CK'!$10:$11</definedName>
    <definedName name="_xlnm.Print_Titles" localSheetId="6">'33'!$6:$7</definedName>
    <definedName name="_xlnm.Print_Titles" localSheetId="0">'34'!$6:$6</definedName>
    <definedName name="_xlnm.Print_Titles" localSheetId="1">'37'!$7:$10</definedName>
    <definedName name="_xlnm.Print_Titles" localSheetId="7">'39-CK'!$5:$7</definedName>
  </definedNames>
  <calcPr calcId="181029"/>
</workbook>
</file>

<file path=xl/calcChain.xml><?xml version="1.0" encoding="utf-8"?>
<calcChain xmlns="http://schemas.openxmlformats.org/spreadsheetml/2006/main">
  <c r="D11" i="58" l="1"/>
  <c r="D10" i="58" s="1"/>
  <c r="D14" i="58"/>
  <c r="E14" i="58"/>
  <c r="F14" i="58"/>
  <c r="D15" i="58"/>
  <c r="E15" i="58"/>
  <c r="F15" i="58"/>
  <c r="A16" i="58"/>
  <c r="A17" i="58" s="1"/>
  <c r="A18" i="58" s="1"/>
  <c r="A19" i="58" s="1"/>
  <c r="A20" i="58" s="1"/>
  <c r="A21" i="58" s="1"/>
  <c r="A22" i="58" s="1"/>
  <c r="D16" i="58"/>
  <c r="E16" i="58"/>
  <c r="F16" i="58"/>
  <c r="D17" i="58"/>
  <c r="E17" i="58"/>
  <c r="F17" i="58"/>
  <c r="D18" i="58"/>
  <c r="E18" i="58"/>
  <c r="F18" i="58"/>
  <c r="D19" i="58"/>
  <c r="E19" i="58"/>
  <c r="F19" i="58"/>
  <c r="D20" i="58"/>
  <c r="E20" i="58"/>
  <c r="F20" i="58"/>
  <c r="D21" i="58"/>
  <c r="E21" i="58"/>
  <c r="F21" i="58"/>
  <c r="D22" i="58"/>
  <c r="E22" i="58"/>
  <c r="F22" i="58"/>
  <c r="D23" i="58"/>
  <c r="D12" i="58" s="1"/>
  <c r="E24" i="58"/>
  <c r="F24" i="58"/>
  <c r="E25" i="58"/>
  <c r="F25" i="58"/>
  <c r="D27" i="58"/>
  <c r="C29" i="58"/>
  <c r="D30" i="58"/>
  <c r="D29" i="58" s="1"/>
  <c r="D31" i="58"/>
  <c r="E31" i="58"/>
  <c r="D32" i="58"/>
  <c r="E32" i="58" s="1"/>
  <c r="D33" i="58"/>
  <c r="E33" i="58"/>
  <c r="D34" i="58"/>
  <c r="E34" i="58" s="1"/>
  <c r="E35" i="58"/>
  <c r="E36" i="58"/>
  <c r="E37" i="58"/>
  <c r="E38" i="58"/>
  <c r="E39" i="58"/>
  <c r="E40" i="58"/>
  <c r="E41" i="58"/>
  <c r="D42" i="58"/>
  <c r="E42" i="58"/>
  <c r="E43" i="58"/>
  <c r="E44" i="58"/>
  <c r="G29" i="7"/>
  <c r="F29" i="7"/>
  <c r="F27" i="7"/>
  <c r="E27" i="7"/>
  <c r="G27" i="7" s="1"/>
  <c r="D27" i="7"/>
  <c r="G26" i="7"/>
  <c r="G25" i="7"/>
  <c r="F25" i="7"/>
  <c r="E24" i="7"/>
  <c r="E22" i="7" s="1"/>
  <c r="G23" i="7"/>
  <c r="F23" i="7"/>
  <c r="D22" i="7"/>
  <c r="D21" i="7"/>
  <c r="G19" i="7"/>
  <c r="F19" i="7"/>
  <c r="G18" i="7"/>
  <c r="F18" i="7"/>
  <c r="G17" i="7"/>
  <c r="F17" i="7"/>
  <c r="F15" i="7" s="1"/>
  <c r="G16" i="7"/>
  <c r="F16" i="7"/>
  <c r="D16" i="7"/>
  <c r="G15" i="7"/>
  <c r="E15" i="7"/>
  <c r="D15" i="7"/>
  <c r="G14" i="7"/>
  <c r="E14" i="7"/>
  <c r="F14" i="7" s="1"/>
  <c r="D14" i="7"/>
  <c r="G13" i="7"/>
  <c r="E13" i="7"/>
  <c r="F13" i="7" s="1"/>
  <c r="D13" i="7"/>
  <c r="G12" i="7"/>
  <c r="E12" i="7"/>
  <c r="D12" i="7"/>
  <c r="C12" i="7"/>
  <c r="C11" i="7" s="1"/>
  <c r="E11" i="7"/>
  <c r="G11" i="7" s="1"/>
  <c r="D11" i="7"/>
  <c r="N68" i="59"/>
  <c r="D44" i="60"/>
  <c r="D42" i="60"/>
  <c r="C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7" i="60" s="1"/>
  <c r="A17" i="60"/>
  <c r="A18" i="60" s="1"/>
  <c r="A19" i="60" s="1"/>
  <c r="A20" i="60" s="1"/>
  <c r="A21" i="60" s="1"/>
  <c r="A22" i="60" s="1"/>
  <c r="A23" i="60" s="1"/>
  <c r="A24" i="60" s="1"/>
  <c r="A25" i="60" s="1"/>
  <c r="D14" i="60"/>
  <c r="D13" i="60"/>
  <c r="D10" i="60"/>
  <c r="D9" i="60"/>
  <c r="D8" i="60"/>
  <c r="F12" i="58" l="1"/>
  <c r="E12" i="58"/>
  <c r="F29" i="58"/>
  <c r="D28" i="58"/>
  <c r="E29" i="58"/>
  <c r="F10" i="58"/>
  <c r="D9" i="58"/>
  <c r="E10" i="58"/>
  <c r="F11" i="58"/>
  <c r="E30" i="58"/>
  <c r="E11" i="58"/>
  <c r="F12" i="7"/>
  <c r="F11" i="7" s="1"/>
  <c r="E21" i="7"/>
  <c r="G21" i="7" s="1"/>
  <c r="G22" i="7"/>
  <c r="F24" i="7"/>
  <c r="F22" i="7" s="1"/>
  <c r="F21" i="7" s="1"/>
  <c r="G24" i="7"/>
  <c r="D11" i="60"/>
  <c r="D7" i="60"/>
  <c r="E28" i="58" l="1"/>
  <c r="F28" i="58"/>
  <c r="D26" i="58"/>
  <c r="F9" i="58"/>
  <c r="E9" i="58"/>
  <c r="E26" i="58" l="1"/>
  <c r="F26" i="58"/>
  <c r="D8" i="58"/>
  <c r="E8" i="58" l="1"/>
  <c r="F8" i="58"/>
  <c r="A7" i="8" l="1"/>
  <c r="C24" i="8" l="1"/>
  <c r="C22" i="8"/>
  <c r="C16" i="8"/>
  <c r="C14" i="8" s="1"/>
  <c r="I13" i="8" l="1"/>
  <c r="J73" i="59"/>
  <c r="K12" i="59" l="1"/>
  <c r="Q21" i="59"/>
  <c r="Q66" i="59"/>
  <c r="O66" i="59"/>
  <c r="P66" i="59"/>
  <c r="N66" i="59"/>
  <c r="C67" i="59"/>
  <c r="D43" i="55"/>
  <c r="D37" i="55"/>
  <c r="C37" i="55"/>
  <c r="C43" i="55"/>
  <c r="C36" i="55" l="1"/>
  <c r="D36" i="55"/>
  <c r="D34" i="55" s="1"/>
  <c r="D20" i="8" l="1"/>
  <c r="D27" i="8" s="1"/>
  <c r="D19" i="8"/>
  <c r="D28" i="8" s="1"/>
  <c r="D32" i="8"/>
  <c r="D18" i="8"/>
  <c r="D17" i="8"/>
  <c r="E18" i="8"/>
  <c r="D20" i="3"/>
  <c r="H11" i="7" l="1"/>
  <c r="K8" i="38"/>
  <c r="F9" i="38"/>
  <c r="E9" i="38"/>
  <c r="D9" i="38" l="1"/>
  <c r="F20" i="3" l="1"/>
  <c r="D11" i="3" l="1"/>
  <c r="D10" i="3" s="1"/>
  <c r="D15" i="8" s="1"/>
  <c r="C11" i="3"/>
  <c r="C10" i="3" s="1"/>
  <c r="N35" i="59"/>
  <c r="C36" i="59"/>
  <c r="C37" i="59"/>
  <c r="N33" i="59"/>
  <c r="N23" i="59"/>
  <c r="N20" i="59"/>
  <c r="N16" i="59" l="1"/>
  <c r="N19" i="59"/>
  <c r="N18" i="59"/>
  <c r="J38" i="59" l="1"/>
  <c r="G14" i="59"/>
  <c r="E40" i="59"/>
  <c r="E71" i="59" s="1"/>
  <c r="I31" i="59"/>
  <c r="O55" i="59"/>
  <c r="F54" i="59"/>
  <c r="C38" i="59" l="1"/>
  <c r="C56" i="59"/>
  <c r="C55" i="59"/>
  <c r="C53" i="59"/>
  <c r="C72" i="59" l="1"/>
  <c r="N22" i="59" l="1"/>
  <c r="E11" i="3" l="1"/>
  <c r="E10" i="3" l="1"/>
  <c r="G10" i="3" s="1"/>
  <c r="G11" i="3"/>
  <c r="C75" i="59"/>
  <c r="C31" i="59"/>
  <c r="D30" i="8" l="1"/>
  <c r="C76" i="59" l="1"/>
  <c r="C77" i="59"/>
  <c r="E10" i="57" l="1"/>
  <c r="J8" i="38"/>
  <c r="N28" i="59" l="1"/>
  <c r="C28" i="59" s="1"/>
  <c r="O60" i="59" l="1"/>
  <c r="O12" i="59" s="1"/>
  <c r="C73" i="59"/>
  <c r="C35" i="59" l="1"/>
  <c r="J66" i="59"/>
  <c r="J12" i="59" s="1"/>
  <c r="E17" i="8"/>
  <c r="G17" i="8" s="1"/>
  <c r="C43" i="59"/>
  <c r="C27" i="59"/>
  <c r="C21" i="59"/>
  <c r="C54" i="59"/>
  <c r="C19" i="59"/>
  <c r="G12" i="3"/>
  <c r="G13" i="3"/>
  <c r="G14" i="3"/>
  <c r="G17" i="3"/>
  <c r="G18" i="3"/>
  <c r="G19" i="3"/>
  <c r="G20" i="3"/>
  <c r="G21" i="3"/>
  <c r="C65" i="59"/>
  <c r="C9" i="53"/>
  <c r="C9" i="38" s="1"/>
  <c r="E11" i="38"/>
  <c r="D11" i="38" s="1"/>
  <c r="G11" i="38" s="1"/>
  <c r="E12" i="38"/>
  <c r="D12" i="38" s="1"/>
  <c r="G12" i="38" s="1"/>
  <c r="E13" i="38"/>
  <c r="E14" i="38"/>
  <c r="E15" i="38"/>
  <c r="D15" i="38" s="1"/>
  <c r="G15" i="38" s="1"/>
  <c r="E16" i="38"/>
  <c r="D16" i="38" s="1"/>
  <c r="G16" i="38" s="1"/>
  <c r="E17" i="38"/>
  <c r="D17" i="38" s="1"/>
  <c r="G17" i="38" s="1"/>
  <c r="E18" i="38"/>
  <c r="E10" i="38"/>
  <c r="D10" i="38" s="1"/>
  <c r="G10" i="38" s="1"/>
  <c r="C68" i="59"/>
  <c r="C78" i="59"/>
  <c r="C13" i="59"/>
  <c r="C17" i="59"/>
  <c r="C20" i="59"/>
  <c r="C24" i="59"/>
  <c r="C30" i="59"/>
  <c r="C34" i="59"/>
  <c r="C41" i="59"/>
  <c r="C48" i="59"/>
  <c r="C49" i="59"/>
  <c r="C50" i="59"/>
  <c r="C51" i="59"/>
  <c r="C52" i="59"/>
  <c r="C57" i="59"/>
  <c r="C58" i="59"/>
  <c r="C59" i="59"/>
  <c r="C61" i="59"/>
  <c r="C62" i="59"/>
  <c r="C63" i="59"/>
  <c r="C64" i="59"/>
  <c r="C69" i="59"/>
  <c r="C70" i="59"/>
  <c r="C74" i="59"/>
  <c r="C60" i="59"/>
  <c r="D66" i="59"/>
  <c r="D12" i="59" s="1"/>
  <c r="F66" i="59"/>
  <c r="F12" i="59" s="1"/>
  <c r="H66" i="59"/>
  <c r="I66" i="59"/>
  <c r="L66" i="59"/>
  <c r="L12" i="59" s="1"/>
  <c r="M66" i="59"/>
  <c r="M12" i="59" s="1"/>
  <c r="C22" i="59"/>
  <c r="C23" i="59"/>
  <c r="N32" i="59"/>
  <c r="C32" i="59" s="1"/>
  <c r="C33" i="59"/>
  <c r="G9" i="38"/>
  <c r="C47" i="59"/>
  <c r="C46" i="59"/>
  <c r="C45" i="59"/>
  <c r="C44" i="59"/>
  <c r="C42" i="59"/>
  <c r="C39" i="59"/>
  <c r="C26" i="59"/>
  <c r="C25" i="59"/>
  <c r="C18" i="59"/>
  <c r="C14" i="59"/>
  <c r="C79" i="59"/>
  <c r="G66" i="59"/>
  <c r="G12" i="59" s="1"/>
  <c r="D11" i="55"/>
  <c r="C11" i="55" s="1"/>
  <c r="F12" i="3"/>
  <c r="F13" i="3"/>
  <c r="I20" i="57"/>
  <c r="I19" i="57"/>
  <c r="C19" i="57"/>
  <c r="I18" i="57"/>
  <c r="I17" i="57"/>
  <c r="I16" i="57"/>
  <c r="I15" i="57"/>
  <c r="I14" i="57"/>
  <c r="I13" i="57"/>
  <c r="I12" i="57"/>
  <c r="A12" i="57"/>
  <c r="A13" i="57" s="1"/>
  <c r="A14" i="57" s="1"/>
  <c r="A15" i="57" s="1"/>
  <c r="A16" i="57" s="1"/>
  <c r="A17" i="57" s="1"/>
  <c r="A18" i="57" s="1"/>
  <c r="A19" i="57" s="1"/>
  <c r="A20" i="57" s="1"/>
  <c r="I11" i="57"/>
  <c r="J10" i="57"/>
  <c r="J9" i="57"/>
  <c r="H10" i="57"/>
  <c r="G10" i="57"/>
  <c r="G9" i="57" s="1"/>
  <c r="F10" i="57"/>
  <c r="F9" i="57" s="1"/>
  <c r="D10" i="57"/>
  <c r="D9" i="57" s="1"/>
  <c r="C18" i="57"/>
  <c r="C15" i="57"/>
  <c r="C17" i="57"/>
  <c r="C20" i="57"/>
  <c r="C11" i="57"/>
  <c r="C13" i="57"/>
  <c r="C14" i="57"/>
  <c r="C16" i="57"/>
  <c r="H9" i="57"/>
  <c r="C12" i="57"/>
  <c r="G36" i="8"/>
  <c r="F36" i="8"/>
  <c r="G35" i="8"/>
  <c r="F35" i="8"/>
  <c r="F27" i="8"/>
  <c r="D24" i="8"/>
  <c r="D22" i="8" s="1"/>
  <c r="E20" i="8"/>
  <c r="G19" i="8"/>
  <c r="D16" i="8"/>
  <c r="F19" i="8"/>
  <c r="H8" i="38"/>
  <c r="I8" i="38"/>
  <c r="J9" i="53"/>
  <c r="J8" i="53" s="1"/>
  <c r="I9" i="53"/>
  <c r="J11" i="53"/>
  <c r="J12" i="53"/>
  <c r="J13" i="53"/>
  <c r="J14" i="53"/>
  <c r="J15" i="53"/>
  <c r="J16" i="53"/>
  <c r="J17" i="53"/>
  <c r="J18" i="53"/>
  <c r="J10" i="53"/>
  <c r="I11" i="53"/>
  <c r="I12" i="53"/>
  <c r="I13" i="53"/>
  <c r="H13" i="53" s="1"/>
  <c r="I14" i="53"/>
  <c r="I15" i="53"/>
  <c r="I16" i="53"/>
  <c r="I17" i="53"/>
  <c r="H17" i="53" s="1"/>
  <c r="I18" i="53"/>
  <c r="I10" i="53"/>
  <c r="C18" i="53"/>
  <c r="C18" i="38" s="1"/>
  <c r="A24" i="55"/>
  <c r="A25" i="55" s="1"/>
  <c r="A26" i="55" s="1"/>
  <c r="A27" i="55" s="1"/>
  <c r="A28" i="55" s="1"/>
  <c r="A29" i="55" s="1"/>
  <c r="A30" i="55" s="1"/>
  <c r="E8" i="53"/>
  <c r="F8" i="53"/>
  <c r="G8" i="53"/>
  <c r="D8" i="53"/>
  <c r="C10" i="53"/>
  <c r="C10" i="38" s="1"/>
  <c r="C8" i="38" s="1"/>
  <c r="C11" i="53"/>
  <c r="C11" i="38" s="1"/>
  <c r="C12" i="53"/>
  <c r="C12" i="38" s="1"/>
  <c r="C13" i="53"/>
  <c r="C13" i="38" s="1"/>
  <c r="C14" i="53"/>
  <c r="C14" i="38" s="1"/>
  <c r="C15" i="53"/>
  <c r="C15" i="38" s="1"/>
  <c r="C16" i="53"/>
  <c r="C16" i="38" s="1"/>
  <c r="C17" i="53"/>
  <c r="C17" i="38" s="1"/>
  <c r="D13" i="38"/>
  <c r="G13" i="38" s="1"/>
  <c r="D14" i="38"/>
  <c r="G14" i="38" s="1"/>
  <c r="D18" i="38"/>
  <c r="G18" i="38" s="1"/>
  <c r="H20" i="3"/>
  <c r="F17" i="3"/>
  <c r="F18" i="3"/>
  <c r="H18" i="3" s="1"/>
  <c r="H21" i="3"/>
  <c r="D17" i="55"/>
  <c r="C17" i="55" s="1"/>
  <c r="H12" i="3"/>
  <c r="F8" i="38"/>
  <c r="H19" i="3"/>
  <c r="H13" i="3"/>
  <c r="F11" i="3"/>
  <c r="F17" i="8" l="1"/>
  <c r="I10" i="57"/>
  <c r="I9" i="57" s="1"/>
  <c r="H18" i="53"/>
  <c r="H14" i="53"/>
  <c r="H9" i="53"/>
  <c r="H8" i="53" s="1"/>
  <c r="H16" i="53"/>
  <c r="E16" i="8"/>
  <c r="G16" i="8" s="1"/>
  <c r="H10" i="53"/>
  <c r="H15" i="53"/>
  <c r="H11" i="53"/>
  <c r="G18" i="8"/>
  <c r="F18" i="8"/>
  <c r="H17" i="3"/>
  <c r="F10" i="3"/>
  <c r="H10" i="3" s="1"/>
  <c r="I8" i="53"/>
  <c r="H12" i="53"/>
  <c r="C8" i="53"/>
  <c r="M7" i="53" s="1"/>
  <c r="C40" i="59"/>
  <c r="C10" i="57"/>
  <c r="N15" i="59"/>
  <c r="N12" i="59" s="1"/>
  <c r="C21" i="57"/>
  <c r="E9" i="57"/>
  <c r="F20" i="8"/>
  <c r="G20" i="8"/>
  <c r="D8" i="38"/>
  <c r="E31" i="8" s="1"/>
  <c r="E8" i="38"/>
  <c r="I12" i="59"/>
  <c r="C16" i="59"/>
  <c r="F16" i="8" l="1"/>
  <c r="H21" i="7"/>
  <c r="C9" i="57"/>
  <c r="E26" i="8" s="1"/>
  <c r="E34" i="8" s="1"/>
  <c r="H11" i="3"/>
  <c r="C71" i="59"/>
  <c r="C66" i="59" s="1"/>
  <c r="E66" i="59"/>
  <c r="C34" i="55"/>
  <c r="F31" i="8"/>
  <c r="G31" i="8"/>
  <c r="E12" i="59" l="1"/>
  <c r="F26" i="8"/>
  <c r="F34" i="8"/>
  <c r="D14" i="8"/>
  <c r="E15" i="8"/>
  <c r="E14" i="8" s="1"/>
  <c r="H12" i="59"/>
  <c r="G15" i="8" l="1"/>
  <c r="F15" i="8"/>
  <c r="G14" i="8" l="1"/>
  <c r="F14" i="8"/>
  <c r="C29" i="59" l="1"/>
  <c r="D22" i="55" l="1"/>
  <c r="C22" i="55" s="1"/>
  <c r="G8" i="38" l="1"/>
  <c r="E8" i="60" s="1"/>
  <c r="E25" i="8" l="1"/>
  <c r="E33" i="8" s="1"/>
  <c r="E24" i="8" l="1"/>
  <c r="E23" i="8" s="1"/>
  <c r="E32" i="8"/>
  <c r="F25" i="8"/>
  <c r="G25" i="8"/>
  <c r="E30" i="8" l="1"/>
  <c r="H30" i="8" s="1"/>
  <c r="H32" i="8" s="1"/>
  <c r="E20" i="55"/>
  <c r="F24" i="8"/>
  <c r="G23" i="8"/>
  <c r="G33" i="8"/>
  <c r="G24" i="8"/>
  <c r="F33" i="8"/>
  <c r="F32" i="8"/>
  <c r="G32" i="8"/>
  <c r="F23" i="8" l="1"/>
  <c r="E22" i="8"/>
  <c r="G30" i="8"/>
  <c r="F30" i="8"/>
  <c r="E37" i="8"/>
  <c r="H22" i="8" l="1"/>
  <c r="I18" i="8"/>
  <c r="F22" i="8"/>
  <c r="G22" i="8"/>
  <c r="F37" i="8"/>
  <c r="G37" i="8"/>
  <c r="E10" i="55" l="1"/>
  <c r="E9" i="55" s="1"/>
  <c r="D33" i="55" l="1"/>
  <c r="C33" i="55" s="1"/>
  <c r="D32" i="55" l="1"/>
  <c r="C32" i="55" l="1"/>
  <c r="Q12" i="59"/>
  <c r="P15" i="59" s="1"/>
  <c r="O15" i="59" l="1"/>
  <c r="C15" i="59" s="1"/>
  <c r="P12" i="59"/>
  <c r="C12" i="59" l="1"/>
  <c r="D20" i="55" l="1"/>
  <c r="G8" i="58" l="1"/>
  <c r="F9" i="55"/>
  <c r="C20" i="55"/>
  <c r="C10" i="55" s="1"/>
  <c r="C9" i="55" s="1"/>
  <c r="D10" i="55"/>
  <c r="D9" i="55" s="1"/>
  <c r="H8" i="58" l="1"/>
  <c r="C26" i="55"/>
  <c r="D26" i="55"/>
  <c r="C29" i="55"/>
  <c r="D29" i="55"/>
  <c r="C23" i="55"/>
  <c r="D23" i="55"/>
  <c r="D30" i="55"/>
  <c r="C30" i="55"/>
  <c r="C24" i="55"/>
  <c r="D24" i="55"/>
  <c r="D12" i="55"/>
  <c r="C12" i="55"/>
  <c r="E12" i="55"/>
  <c r="D19" i="55"/>
  <c r="C19" i="55"/>
  <c r="E19" i="55"/>
  <c r="C27" i="55"/>
  <c r="D27" i="55"/>
  <c r="C25" i="55"/>
  <c r="D25" i="55"/>
  <c r="E15" i="55"/>
  <c r="C15" i="55"/>
  <c r="D15" i="55"/>
  <c r="C31" i="55"/>
  <c r="D31" i="55"/>
  <c r="C28" i="55"/>
  <c r="D28" i="55"/>
  <c r="D13" i="55"/>
  <c r="C13" i="55"/>
  <c r="E13" i="55"/>
  <c r="D18" i="55"/>
  <c r="C18" i="55"/>
  <c r="E18" i="55"/>
  <c r="D14" i="55"/>
  <c r="C14" i="55"/>
  <c r="E14" i="5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thvc</author>
    <author>Admin</author>
    <author>Administrator</author>
  </authors>
  <commentList>
    <comment ref="G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Lương+HĐ: 2,548; 2SN:1.100+ttHANH 500</t>
        </r>
      </text>
    </comment>
    <comment ref="N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PC ĐBHĐND: 326TR</t>
        </r>
      </text>
    </comment>
    <comment ref="N2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90tr ruyen truyền</t>
        </r>
      </text>
    </comment>
    <comment ref="I3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CCTL 1.008</t>
        </r>
      </text>
    </comment>
    <comment ref="N3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trang phuc 30</t>
        </r>
      </text>
    </comment>
    <comment ref="N3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trang phuc 21</t>
        </r>
      </text>
    </comment>
    <comment ref="D35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CCTL 3.132</t>
        </r>
      </text>
    </comment>
    <comment ref="F54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bao gồm KP khám sức khỏe</t>
        </r>
      </text>
    </comment>
    <comment ref="J78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CCTL 1.004
TR
</t>
        </r>
      </text>
    </comment>
    <comment ref="G79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TRỪ CCTL 375TR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thvc</author>
  </authors>
  <commentList>
    <comment ref="E24" authorId="0" shapeId="0" xr:uid="{24018279-AC4F-45C3-B5A1-A1F9C362AE88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CỘNG CHI NSX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thvc</author>
  </authors>
  <commentList>
    <comment ref="C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CHƯA CONG PHAN THU XA HUONG THEO PHAN CAP
</t>
        </r>
      </text>
    </comment>
    <comment ref="E3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thvc:</t>
        </r>
        <r>
          <rPr>
            <sz val="9"/>
            <color indexed="81"/>
            <rFont val="Tahoma"/>
            <family val="2"/>
          </rPr>
          <t xml:space="preserve">
= THU BSNS THI XA +THU HUONG THEO PHÂN CẤP XÃ, P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E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thiếu thu khác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TinHocVinhChauv</author>
  </authors>
  <commentList>
    <comment ref="I10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TinHocVinhChauv:</t>
        </r>
        <r>
          <rPr>
            <sz val="9"/>
            <color indexed="81"/>
            <rFont val="Tahoma"/>
            <family val="2"/>
          </rPr>
          <t xml:space="preserve">
chưa cộng ấp kk, quy mô dân cư</t>
        </r>
      </text>
    </comment>
  </commentList>
</comments>
</file>

<file path=xl/sharedStrings.xml><?xml version="1.0" encoding="utf-8"?>
<sst xmlns="http://schemas.openxmlformats.org/spreadsheetml/2006/main" count="560" uniqueCount="299">
  <si>
    <t>Chi đảm bảo xã hội</t>
  </si>
  <si>
    <t>Đvt: triệu đồng</t>
  </si>
  <si>
    <t>Thu ngân sách hưởng theo phân cấp</t>
  </si>
  <si>
    <t>Chi thường xuyên</t>
  </si>
  <si>
    <t>Tổng cộng</t>
  </si>
  <si>
    <t>Nội dung</t>
  </si>
  <si>
    <t>Dự phòng ngân sách</t>
  </si>
  <si>
    <t>Tổng số</t>
  </si>
  <si>
    <t>Đơn vị tính: triệu đồng</t>
  </si>
  <si>
    <t>A</t>
  </si>
  <si>
    <t>B</t>
  </si>
  <si>
    <t>I</t>
  </si>
  <si>
    <t>Huyện, thành phố</t>
  </si>
  <si>
    <t>Đơn vị</t>
  </si>
  <si>
    <t>Bổ sung
cân đối</t>
  </si>
  <si>
    <t>Bổ sung
có mục tiêu</t>
  </si>
  <si>
    <t>II</t>
  </si>
  <si>
    <t xml:space="preserve"> </t>
  </si>
  <si>
    <t>III</t>
  </si>
  <si>
    <t>IV</t>
  </si>
  <si>
    <t>STT</t>
  </si>
  <si>
    <t>-</t>
  </si>
  <si>
    <t>TÊN ĐƠN VỊ</t>
  </si>
  <si>
    <t>Dự toán
năm 2017</t>
  </si>
  <si>
    <t>V</t>
  </si>
  <si>
    <t>Thu kết dư</t>
  </si>
  <si>
    <t>Thu chuyển nguồn từ năm trước sang</t>
  </si>
  <si>
    <t>Thu chuyển nguồn từ năm trước chuyển sang</t>
  </si>
  <si>
    <t>Chi đầu tư phát triển</t>
  </si>
  <si>
    <t>Chi các chương trình mục tiêu</t>
  </si>
  <si>
    <t>Chi các chương trình mục tiêu quốc gia</t>
  </si>
  <si>
    <t>Chi các chương trình mục tiêu, nhiệm vụ</t>
  </si>
  <si>
    <t>(Kèm theo Nghị quyết số               / NQ-HĐND ngày           / 12 / 2017
của Hội đồng nhân dân tỉnh Sóc Trăng)</t>
  </si>
  <si>
    <t>Tổng thu NSNN</t>
  </si>
  <si>
    <t>5 = 3/1</t>
  </si>
  <si>
    <t>6 = 4/2</t>
  </si>
  <si>
    <t>So sánh (%)</t>
  </si>
  <si>
    <t>Thu từ khu vực ngoài Quốc doanh</t>
  </si>
  <si>
    <t>Lệ phí trước bạ</t>
  </si>
  <si>
    <t>Thuế thu nhập cá nhân</t>
  </si>
  <si>
    <t xml:space="preserve">Thu phí, lệ phí                                                </t>
  </si>
  <si>
    <t>Chi đầu tư cho các dự án</t>
  </si>
  <si>
    <t>Trong đó:</t>
  </si>
  <si>
    <t>Chi giáo dục, đào tạo &amp; dạy nghề</t>
  </si>
  <si>
    <t>Chi khoa học &amp; công nghệ</t>
  </si>
  <si>
    <t>Chi đầu tư từ nguồn thu tiền sử dụng đất</t>
  </si>
  <si>
    <t>Chi đầu tư từ nguồn thu xổ số kiến thiết</t>
  </si>
  <si>
    <t>Chi đầu tư phát triển khác</t>
  </si>
  <si>
    <t>(Kèm theo Nghị quyết số                  /NQ-HĐND ngày          /  12  / 2017
của Hội đồng nhân dân tỉnh Sóc Trăng)</t>
  </si>
  <si>
    <t>Chi y tế, dân số &amp;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</si>
  <si>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</si>
  <si>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</si>
  <si>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</si>
  <si>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</si>
  <si>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</si>
  <si>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các cơ quan QLNN, đảng, đoàn thể</t>
  </si>
  <si>
    <t xml:space="preserve">TỔNG SỐ </t>
  </si>
  <si>
    <t>Tổng thu
NSNN trên địa bàn</t>
  </si>
  <si>
    <t>Bổ sung
vốn đầu tư để thực hiện các chương trình mục tiêu, nhiệm vụ</t>
  </si>
  <si>
    <t>Bổ sung
vốn sự nghiệp để thực hiện các chương trình mục tiêu, nhiệm vụ</t>
  </si>
  <si>
    <t>Biểu số 69/CK-NSNN</t>
  </si>
  <si>
    <t>HĐND THỊ XÃ VĨNH CHÂU</t>
  </si>
  <si>
    <t>Đơn vị: triệu đồng</t>
  </si>
  <si>
    <t>TỔNG NGUỒN THU NGÂN SÁCH THỊ XÃ</t>
  </si>
  <si>
    <t>Thu ngân sách thị xã được hưởng theo phân cấp</t>
  </si>
  <si>
    <t>Thu ngân sách thị xã hưởng 100%</t>
  </si>
  <si>
    <t>Thu ngân sách thị xã từ các khoản thu phân chia</t>
  </si>
  <si>
    <t>TỔNG CHI NGÂN SÁCH THỊ XÃ</t>
  </si>
  <si>
    <t>Tổng chi cân đối ngân sách thị xã</t>
  </si>
  <si>
    <t>Biểu số 70/CK-NSNN</t>
  </si>
  <si>
    <t>Ngân sách cấp thị xã</t>
  </si>
  <si>
    <t>Thu ngân sách cấp thị xã hưởng theo phân cấp</t>
  </si>
  <si>
    <t>Chi thuộc nhiệm vụ của ngân sách cấp thị xã</t>
  </si>
  <si>
    <t>Thu bổ sung từ ngân sách cấp thị xã</t>
  </si>
  <si>
    <t>(Kèm theo Nghị quyết số         /NQ-HĐND ngày         /  12 / 2017
của Hội đồng nhân dân thị xã Sóc Trăng)</t>
  </si>
  <si>
    <t>Bổ sung từ ngân sách cấp trên</t>
  </si>
  <si>
    <t xml:space="preserve">Chi ngân sách </t>
  </si>
  <si>
    <t>Bổ sung cho ngân sách xã, phường</t>
  </si>
  <si>
    <t>Ngân sách xã, phường</t>
  </si>
  <si>
    <t xml:space="preserve">Nguồn thu ngân sách </t>
  </si>
  <si>
    <t>Thu NS 
thị xã</t>
  </si>
  <si>
    <t>Thu NS
thị xã</t>
  </si>
  <si>
    <t>Thu tiền sử dụng đất</t>
  </si>
  <si>
    <t>Thu khác ngân sách</t>
  </si>
  <si>
    <t>Tổng chi ngân sách thị xã</t>
  </si>
  <si>
    <t>Chi bổ sung cân đối cho ngân sách xã</t>
  </si>
  <si>
    <t>Chi ngân sách cấp thị xã theo lĩnh vực</t>
  </si>
  <si>
    <t>Thu NS
xã, phường hưởng 100%</t>
  </si>
  <si>
    <t>Thu NS xã, phường
được hưởng từ các khoản phân chia</t>
  </si>
  <si>
    <t>Số bổ sung cân đối từ ngân sách cấp thị xã</t>
  </si>
  <si>
    <t>Tổng chi cân đối ngân sách xã, phường</t>
  </si>
  <si>
    <t>Chi bổ sung thực hiện điều chỉnh tiền lương</t>
  </si>
  <si>
    <t>Phường 1</t>
  </si>
  <si>
    <t>Phường 2</t>
  </si>
  <si>
    <t>Phường Vĩnh Phước</t>
  </si>
  <si>
    <t>Phường Khánh Hòa</t>
  </si>
  <si>
    <t>Xã Vĩnh Tân</t>
  </si>
  <si>
    <t>Xã Vĩnh Hải</t>
  </si>
  <si>
    <t>Xã Hòa Đông</t>
  </si>
  <si>
    <t>Xã Vĩnh Hiệp</t>
  </si>
  <si>
    <t>Thu ngân sách xã, phường được hưởng
theo phân cấp</t>
  </si>
  <si>
    <t>Chi quốc phòng</t>
  </si>
  <si>
    <t>Chi an ninh</t>
  </si>
  <si>
    <t xml:space="preserve"> Ứng dụng công nghệ thông tin</t>
  </si>
  <si>
    <t xml:space="preserve"> Các khoản chi không tự chủ</t>
  </si>
  <si>
    <t>TRONG ĐÓ</t>
  </si>
  <si>
    <t>CHI NÔNG NGHIỆP, LÂM NGHIỆP, THỦY LỢI, THỦY SẢN</t>
  </si>
  <si>
    <t>CHI BẢO ĐẢM XÃ HỘI</t>
  </si>
  <si>
    <t>CHI CÁC HOẠT ĐỘNG KINH TẾ</t>
  </si>
  <si>
    <t>Bổ sung từ ngân sách tỉnh</t>
  </si>
  <si>
    <t>Chi y tế</t>
  </si>
  <si>
    <t>Trong đó: Chi đầu tư cho các dự án</t>
  </si>
  <si>
    <t>ĐVT: Triệu đồng</t>
  </si>
  <si>
    <t>CHI THỂ DỤC THỂ THAO</t>
  </si>
  <si>
    <t>CHI BẢO VỆ MÔI TRƯỜNG</t>
  </si>
  <si>
    <t>CHI GIAO THÔNG</t>
  </si>
  <si>
    <t xml:space="preserve"> Hội Nạn nhân CĐ da cam</t>
  </si>
  <si>
    <t xml:space="preserve"> Hội Khuyến học</t>
  </si>
  <si>
    <t xml:space="preserve"> Hội Chiến sĩ CMBĐBTĐ</t>
  </si>
  <si>
    <t xml:space="preserve"> Hội Luật gia</t>
  </si>
  <si>
    <t xml:space="preserve"> Hội Người Cao tuổi</t>
  </si>
  <si>
    <t xml:space="preserve"> Hội Người mù</t>
  </si>
  <si>
    <t xml:space="preserve"> Hỗ trợ Tòa án nhân dân</t>
  </si>
  <si>
    <t xml:space="preserve"> Hỗ trợ Chi cục Thống kê</t>
  </si>
  <si>
    <t xml:space="preserve"> -</t>
  </si>
  <si>
    <t xml:space="preserve"> Cải cách hành chính </t>
  </si>
  <si>
    <t>Chi sự nghiệp kinh tế khác</t>
  </si>
  <si>
    <t>Trong đó chia theo lĩnh vực:</t>
  </si>
  <si>
    <t>Chi giáo dục - đào tạo và dạy nghề</t>
  </si>
  <si>
    <t>Chi khoa học và công nghệ</t>
  </si>
  <si>
    <t>Trong đó chia theo nguồn vốn:</t>
  </si>
  <si>
    <t>Chi dự phòng ngân sách</t>
  </si>
  <si>
    <t>CHI CÁC CHƯƠNG TRÌNH MỤC TIÊU</t>
  </si>
  <si>
    <t>CHI CÂN ĐỐI NGÂN SÁCH THỊ XÃ</t>
  </si>
  <si>
    <t>CHI AN NINH QUỐC PHÒNG</t>
  </si>
  <si>
    <t xml:space="preserve">Văn phòng Thị ủy </t>
  </si>
  <si>
    <t xml:space="preserve"> Công an</t>
  </si>
  <si>
    <t xml:space="preserve"> Hỗ trợ Viện Kiểm Sát nhân dân</t>
  </si>
  <si>
    <t>Đơn vị tính: triệu đồng</t>
  </si>
  <si>
    <t>ĐƠN VỊ</t>
  </si>
  <si>
    <t>Xaõ phöôøng</t>
  </si>
  <si>
    <t xml:space="preserve">Thu phí và lệ phí </t>
  </si>
  <si>
    <t>Phí môn bài</t>
  </si>
  <si>
    <t>Thu khác ngân sách</t>
  </si>
  <si>
    <t>(Kèm theo báo cáo số         /BC-UBND ngày         /  12 / 2017 của Ủy ban nhân dân thị xã Vĩnh Châu)</t>
  </si>
  <si>
    <t>PL 01-DT</t>
  </si>
  <si>
    <t>PL 02-DT</t>
  </si>
  <si>
    <t>PL 04-DT</t>
  </si>
  <si>
    <t>CHI ĐÀO TẠO VÀ DẠY NGHỀ</t>
  </si>
  <si>
    <t>Kinh phí quản lý hành chính</t>
  </si>
  <si>
    <t xml:space="preserve">Trong đó: hỗ trợ chi quốc phòng xã, phường </t>
  </si>
  <si>
    <t xml:space="preserve"> Hỗ trợ Chi cục Thi hành án (Bao gồm kinh phí hoạt động Ban chỉ đạo thi hành án dân sự)</t>
  </si>
  <si>
    <t>Chi giáo dục</t>
  </si>
  <si>
    <t>Chi  đào tạo &amp; dạy nghề</t>
  </si>
  <si>
    <t>CHI GIÁO DỤC</t>
  </si>
  <si>
    <t>Trung tâm giáo dục nghề nghiệp - giáo dục thường xuyên</t>
  </si>
  <si>
    <t>CHI Y TẾ</t>
  </si>
  <si>
    <t xml:space="preserve">So sánh (3)
</t>
  </si>
  <si>
    <t>Tuyệt đối</t>
  </si>
  <si>
    <t>Tương đối</t>
  </si>
  <si>
    <t>TỔNG CHI NGÂN SÁCH ĐỊA PHƯƠNG</t>
  </si>
  <si>
    <t>So sánh</t>
  </si>
  <si>
    <t>Tương đối (%)</t>
  </si>
  <si>
    <t>4=2/1</t>
  </si>
  <si>
    <t>3=2-1</t>
  </si>
  <si>
    <t xml:space="preserve">So sánh </t>
  </si>
  <si>
    <t>TỔNG THU NSNN TRÊN ĐỊA BÀN</t>
  </si>
  <si>
    <t>BAO GỒM</t>
  </si>
  <si>
    <t>Thuế giá trị gia tăng</t>
  </si>
  <si>
    <t>DỰ TOÁN CHI NGÂN SÁCH THỊ XÃ, CHI NGÂN SÁCH CẤP THỊ XÃ</t>
  </si>
  <si>
    <t>Ngân sách thị xã</t>
  </si>
  <si>
    <t>Chia ra</t>
  </si>
  <si>
    <t>Ngân sách xã</t>
  </si>
  <si>
    <t>1=2+3</t>
  </si>
  <si>
    <t>CHI QUẢN LÝ HÀNH CHÍNH</t>
  </si>
  <si>
    <t>CHI THƯỜNG XUYÊN KHÁC</t>
  </si>
  <si>
    <t>Các khoản chi quản lý tại ngân sách</t>
  </si>
  <si>
    <t>PL 03 - DT</t>
  </si>
  <si>
    <t>PL 07-DT</t>
  </si>
  <si>
    <t>PL 08-DT</t>
  </si>
  <si>
    <t>Chi thường xuyên khác</t>
  </si>
  <si>
    <t>PL 06 - DT</t>
  </si>
  <si>
    <t>PL 09-DT</t>
  </si>
  <si>
    <t>PL 10-DT</t>
  </si>
  <si>
    <t xml:space="preserve"> +</t>
  </si>
  <si>
    <t>Kinh phí bảo vệ đất trồng lúa</t>
  </si>
  <si>
    <t xml:space="preserve">Chi sự nghiệp kinh tế </t>
  </si>
  <si>
    <t>Bổ sung có mục tiêu từ nguồn xổ số kiến thiết</t>
  </si>
  <si>
    <t>C</t>
  </si>
  <si>
    <t>Chi bổ sung cho ngân sách xã</t>
  </si>
  <si>
    <t>Chi bổ sung có mục tiêu cho ngân sách xã</t>
  </si>
  <si>
    <t>Chi từ nguồn kết dư ngân sách</t>
  </si>
  <si>
    <t>Chi tạo nguồn, điều chỉnh tiền lương</t>
  </si>
  <si>
    <t>HĐND</t>
  </si>
  <si>
    <t>NTM+Đô thị văn minh</t>
  </si>
  <si>
    <t>Kinh phí  hoạt động cơ sở Đảng theo Quyết Định số 99-QĐ/TW</t>
  </si>
  <si>
    <t>Chi kết dư</t>
  </si>
  <si>
    <t>Kinh phí đảm bảo hoạt động UBND thị xã</t>
  </si>
  <si>
    <t>Kinh phí hoạt động HĐND, đại biểu HĐND thị xã</t>
  </si>
  <si>
    <t>(Kèm theo Nghị quyết số         /NQ-UBND ngày         / 11 / 2019 của Hội đồng nhân dân thị xã Vĩnh Châu)</t>
  </si>
  <si>
    <t xml:space="preserve"> Phòng Nội vụ </t>
  </si>
  <si>
    <t xml:space="preserve"> Phòng Tư pháp</t>
  </si>
  <si>
    <t>Kinh phí duy trì phần mềm QLTS</t>
  </si>
  <si>
    <t>Kinh phí thực hiện các nhiệm vụ chuyên môn thuộc lĩnh vực ngành</t>
  </si>
  <si>
    <t xml:space="preserve"> Phòng Tài chính - Kế hoạch </t>
  </si>
  <si>
    <t xml:space="preserve"> Phòng Kinh tế</t>
  </si>
  <si>
    <t xml:space="preserve"> Phòng Tài nguyên &amp; Môi trường </t>
  </si>
  <si>
    <t xml:space="preserve"> Thanh tra </t>
  </si>
  <si>
    <t xml:space="preserve"> Phòng Quản lý đô thị </t>
  </si>
  <si>
    <t xml:space="preserve"> Phòng Dân tộc </t>
  </si>
  <si>
    <t xml:space="preserve"> Thị đoàn </t>
  </si>
  <si>
    <t xml:space="preserve"> Hội Liên hiệp phụ nữ </t>
  </si>
  <si>
    <t xml:space="preserve"> Hội Nông dân </t>
  </si>
  <si>
    <t xml:space="preserve"> Hội Cựu chiến binh </t>
  </si>
  <si>
    <t xml:space="preserve"> Hội Chữ thập đỏ</t>
  </si>
  <si>
    <t>Ủy ban MTTQVN thị xã Vĩnh Châu</t>
  </si>
  <si>
    <t xml:space="preserve"> - </t>
  </si>
  <si>
    <t xml:space="preserve">Thuế thu nhập doanh nghiệp   </t>
  </si>
  <si>
    <t xml:space="preserve">Thuế giá trị gia tăng         </t>
  </si>
  <si>
    <t>Thuế tài nguyên</t>
  </si>
  <si>
    <t>Thuế tiêu thụ đặc biệt</t>
  </si>
  <si>
    <t>Thu khác</t>
  </si>
  <si>
    <t>Trường Mầm non Vĩnh Phước</t>
  </si>
  <si>
    <t>ĐVT: triệu đồng</t>
  </si>
  <si>
    <t>Xã Lạc Hòa</t>
  </si>
  <si>
    <t>Bổ sung có mục tiêu để thực hiện các chương trình mục tiêu, nhiệm vụ giao đầu năm</t>
  </si>
  <si>
    <t>Bổ sung có mục tiêu để thực hiện các chương trình mục tiêu, nhiệm vụ giao trong năm</t>
  </si>
  <si>
    <t>Kinh phí quy hoạch</t>
  </si>
  <si>
    <t>Chi khác ngân sách</t>
  </si>
  <si>
    <t>Trung tâm Văn hoá - Thể thao - Truyền thanh</t>
  </si>
  <si>
    <t>CHI VĂN HÓA THÔNG TIN- THỂ THAO- TRUYỀN THANH</t>
  </si>
  <si>
    <t>Chi văn hóa thông tin - thể thao - Truyền thanh</t>
  </si>
  <si>
    <t>Trung tâm y tế thị xã</t>
  </si>
  <si>
    <t>Trường Tiểu học Lạc Hòa 1</t>
  </si>
  <si>
    <t>Trường THCS Vĩnh Hải (giai đoạn 2)</t>
  </si>
  <si>
    <t>Trường THCS Phường 2</t>
  </si>
  <si>
    <t>5= 6 - 2</t>
  </si>
  <si>
    <t>Chi sự nghiệp văn hóa thông tin - thể thao- Truyền Thanh</t>
  </si>
  <si>
    <t>Kinh phí lập kế hoạch sử dụng đất</t>
  </si>
  <si>
    <t>Chi văn hóa thông tin, thể dục thể thao - Truyền Thanh</t>
  </si>
  <si>
    <t>Dự toán</t>
  </si>
  <si>
    <t xml:space="preserve"> Ban Chỉ huy Quân sự thị xã</t>
  </si>
  <si>
    <t xml:space="preserve"> Đồn Biên phòng Vĩnh Châu</t>
  </si>
  <si>
    <t xml:space="preserve"> Đồn Biên phòng Vĩnh Hải</t>
  </si>
  <si>
    <t xml:space="preserve"> Đồn Biên phòng Lai Hòa</t>
  </si>
  <si>
    <t xml:space="preserve"> Phòng Lao động - Thương binh và Xã hội</t>
  </si>
  <si>
    <t>Bổ sung cân đối</t>
  </si>
  <si>
    <t>Bổ sung có mục tiêu</t>
  </si>
  <si>
    <t>Chi chuyển nguồn từ ngân sách năm trước</t>
  </si>
  <si>
    <t>Trường Tiểu học Vĩnh Hiệp 1</t>
  </si>
  <si>
    <t>Xã Lai Hòa</t>
  </si>
  <si>
    <t>Duy tu, sửa chữa lộ GTNT do xã, phường quản lý</t>
  </si>
  <si>
    <t>Dự toán năm 2024</t>
  </si>
  <si>
    <t>Dự toán
năm 2024</t>
  </si>
  <si>
    <t>thu phân cấp xã</t>
  </si>
  <si>
    <t>Chi sự nghiệp giáo dục</t>
  </si>
  <si>
    <t>Trường Tiểu học 1 Phường 1</t>
  </si>
  <si>
    <t>Trường Tiểu học 1 Phường 2</t>
  </si>
  <si>
    <t>Trường Tiểu học 2 Phường 2</t>
  </si>
  <si>
    <t>xã</t>
  </si>
  <si>
    <t>Chi bổ sung cân đối</t>
  </si>
  <si>
    <t>Chi bổ sung có mục tiêu</t>
  </si>
  <si>
    <t xml:space="preserve">Bổ sung cân đối </t>
  </si>
  <si>
    <t>Dự án Đầu tư mua sắm thiết bị dạy học phục vụ Chương trình đổi mới sách giáo khoa giáo dục phổ thông giai đoạn 2022 - 2025 cho khối lớp 3, lớp 7</t>
  </si>
  <si>
    <t>Thu ngân sách xã, phường được hưởng theo phân cấp</t>
  </si>
  <si>
    <t xml:space="preserve">Chi đào tạo </t>
  </si>
  <si>
    <t>CHI KIẾN THIẾT ĐÔ THỊ</t>
  </si>
  <si>
    <t>Kinh phí hoạt động của hợp đồng theo Nghị định 111/2022/NĐ-CP</t>
  </si>
  <si>
    <t>Trong đó: Kinh phí hoạt động của hợp đồng theo Nghị định 111/2022/NĐ-CP</t>
  </si>
  <si>
    <t>DỰ TOÁN THU NGÂN SÁCH NHÀ NƯỚC THEO LĨNH VỰC NĂM 2025</t>
  </si>
  <si>
    <t>Dự toán năm 2025</t>
  </si>
  <si>
    <t>Ước thực hiện năm 2024</t>
  </si>
  <si>
    <t>DỰ TOÁN THU NGÂN SÁCH NHÀ NƯỚC TRÊN ĐỊA BÀN
 TỪNG XÃ, PHƯỜNG THEO LĨNH VỰC NĂM 2025</t>
  </si>
  <si>
    <t xml:space="preserve">DỰ TOÁN CHI BỔ SUNG CÓ MỤC TIÊU TỪ NGÂN SÁCH CẤP THỊ XÃ
CHO NGÂN SÁCH TỪNG XÃ, PHƯỜNG NĂM 2025
</t>
  </si>
  <si>
    <t>Dự toán
năm 2025</t>
  </si>
  <si>
    <t>VI</t>
  </si>
  <si>
    <t>Thu chuyển nguồn cải cách tiền lương các năm trước</t>
  </si>
  <si>
    <t>Ước thực hiện
năm 2024</t>
  </si>
  <si>
    <t>Dự án Đầu tư mua sắm thiết bị dạy học phục vụ Chương trình đổi mới sách giáo khoa giáo dục phổ thông giai đoạn 2022 - 2025 cho khối lớp 4, lớp 8</t>
  </si>
  <si>
    <t>Trường THCS Vĩnh Phước 1 (giai đoạn 2)</t>
  </si>
  <si>
    <t>Đầu tư mua sắm thiết bị dạy học phục vụ chương trình đổi mới sách giáo khoa</t>
  </si>
  <si>
    <t>Bổ sung có mục tiêu từ nguồn kinh phí sự nghiệp của NSTW thực hiện nhiệm vụ</t>
  </si>
  <si>
    <t>Bổ sung kinh phí thực hiện nhiệm vụ đảm bảo trật tự an toàn giao thông</t>
  </si>
  <si>
    <t>Kinh phí bảo vệ phát triển đất trồng lúa theo Nghị định số 112/2024/NĐ-CP ngày 11/9/2024 của Chính phủ</t>
  </si>
  <si>
    <t>DỰ TOÁN CHI NGÂN SÁCH ĐỊA PHƯƠNG THEO CƠ CẤU CHI NĂM 2025</t>
  </si>
  <si>
    <t>DỰ TOÁN CHI THƯỜNG XUYÊN CỦA NGÂN SÁCH CẤP THỊ XÃ CHO TỪNG CƠ QUAN, TỔ CHỨC NĂM 2025</t>
  </si>
  <si>
    <t>DỰ TOÁN CHI NGÂN SÁCH CẤP THỊ XÃ THEO TỪNG LĨNH VỰC
NĂM 2025</t>
  </si>
  <si>
    <t>CÂN ĐỐI NGÂN SÁCH THỊ XÃ NĂM 2025</t>
  </si>
  <si>
    <t>CÂN ĐỐI NGUỒN THU, CHI DỰ TOÁN NGÂN SÁCH CẤP THỊ XÃ VÀ NGÂN SÁCH CẤP XÃ NĂM 2025</t>
  </si>
  <si>
    <t xml:space="preserve"> VÀ CHI NGÂN SÁCH XÃ THEO CƠ CẤU CHI NĂM 2025</t>
  </si>
  <si>
    <t>DỰ TOÁN THU, SỐ BỔ SUNG VÀ DỰ TOÁN CHI CÂN ĐỐI NGÂN SÁCH TỪNG  XÃ, PHƯỜNG NĂM 2025</t>
  </si>
  <si>
    <t>Chi hoạt động của các cơ quan quản lý nhà nước, đảng, đoàn thể</t>
  </si>
  <si>
    <t>Văn phòng HĐND và UBND</t>
  </si>
  <si>
    <t xml:space="preserve"> Phòng Văn hóa và Thông tin </t>
  </si>
  <si>
    <t xml:space="preserve"> Phòng Giáo dục và Đào tạo  </t>
  </si>
  <si>
    <t>Bổ sung
vốn thực hiện các chương trình mục tiêu quốc gia</t>
  </si>
  <si>
    <t>Thu chuyển từ năm trước sang</t>
  </si>
  <si>
    <t>(Kèm theo Báo cáo số 464/BC-UBND ngày 11 tháng 12  năm 2024
của Ủy ban nhân dân thị xã Vĩnh Châu)</t>
  </si>
  <si>
    <t>(Kèm theo Báo cáo số  464/BC-UBND ngày   11  tháng   12   năm 2024 của Ủy ban nhân dân thị xã Vĩnh Châu)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</si>
</sst>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,##0\ &quot;₫&quot;;\-#,##0\ &quot;₫&quot;"/>
    <numFmt numFmtId="166" formatCode="#,#00"/>
    <numFmt numFmtId="167" formatCode="_(* #,##0_);_(* \(#,##0\);_(* &quot;-&quot;??_);_(@_)"/>
    <numFmt numFmtId="168" formatCode="_-* #,##0_-;\-* #,##0_-;_-* &quot;-&quot;??_-;_-@_-"/>
    <numFmt numFmtId="169" formatCode="_-* #,##0\ _€_-;\-* #,##0\ _€_-;_-* &quot;-&quot;??\ _€_-;_-@_-"/>
    <numFmt numFmtId="170" formatCode="#,##0.000"/>
  </numFmts>
  <fonts count="6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3"/>
      <name val="VnTime"/>
    </font>
    <font>
      <sz val="11"/>
      <name val=".VnArial Narrow"/>
      <family val="2"/>
    </font>
    <font>
      <sz val="12"/>
      <color indexed="12"/>
      <name val="Times New Roman"/>
      <family val="1"/>
    </font>
    <font>
      <sz val="10"/>
      <name val="Arial"/>
      <family val="2"/>
    </font>
    <font>
      <b/>
      <sz val="12"/>
      <color indexed="12"/>
      <name val="Times New Roman"/>
      <family val="1"/>
    </font>
    <font>
      <sz val="13"/>
      <color indexed="12"/>
      <name val="Times New Roman"/>
      <family val="1"/>
    </font>
    <font>
      <i/>
      <sz val="12"/>
      <color indexed="12"/>
      <name val="Times New Roman"/>
      <family val="1"/>
    </font>
    <font>
      <b/>
      <sz val="13"/>
      <color indexed="12"/>
      <name val="Times New Roman"/>
      <family val="1"/>
    </font>
    <font>
      <sz val="11"/>
      <color indexed="8"/>
      <name val="Times New Roman"/>
      <family val="2"/>
      <charset val="163"/>
    </font>
    <font>
      <sz val="13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sz val="11"/>
      <color indexed="8"/>
      <name val="Times New Roman"/>
      <family val="2"/>
    </font>
    <font>
      <sz val="10"/>
      <name val="VNI-Helve-Condense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4"/>
      <color indexed="12"/>
      <name val="Times New Roman"/>
      <family val="1"/>
    </font>
    <font>
      <sz val="14"/>
      <color indexed="12"/>
      <name val=".VnArial Narrow"/>
      <family val="2"/>
    </font>
    <font>
      <sz val="14"/>
      <color indexed="12"/>
      <name val="Times New Roman"/>
      <family val="1"/>
    </font>
    <font>
      <i/>
      <sz val="14"/>
      <color indexed="12"/>
      <name val="Times New Roman"/>
      <family val="1"/>
    </font>
    <font>
      <b/>
      <sz val="14"/>
      <color indexed="12"/>
      <name val=".VnAvantH"/>
      <family val="2"/>
    </font>
    <font>
      <i/>
      <sz val="14"/>
      <color indexed="12"/>
      <name val=".VnArial Narrow"/>
      <family val="2"/>
    </font>
    <font>
      <b/>
      <i/>
      <sz val="14"/>
      <color indexed="12"/>
      <name val=".VnArial Narrow"/>
      <family val="2"/>
    </font>
    <font>
      <b/>
      <sz val="14"/>
      <color indexed="12"/>
      <name val=".VnArial Narrow"/>
      <family val="2"/>
    </font>
    <font>
      <b/>
      <u/>
      <sz val="14"/>
      <color indexed="12"/>
      <name val=".VnArial Narrow"/>
      <family val="2"/>
    </font>
    <font>
      <b/>
      <sz val="14"/>
      <color indexed="12"/>
      <name val=".VnTime"/>
      <family val="2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i/>
      <sz val="14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u/>
      <sz val="14"/>
      <color indexed="12"/>
      <name val="Times New Roman"/>
      <family val="1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  <font>
      <i/>
      <sz val="13"/>
      <color rgb="FFFF0000"/>
      <name val="Times New Roman"/>
      <family val="1"/>
    </font>
    <font>
      <b/>
      <sz val="12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4"/>
      <name val=".VnArial Narrow"/>
      <family val="2"/>
    </font>
    <font>
      <b/>
      <u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.VnArial Narrow"/>
      <family val="2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165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1" fillId="0" borderId="0"/>
    <xf numFmtId="0" fontId="7" fillId="0" borderId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1" fillId="0" borderId="0"/>
    <xf numFmtId="0" fontId="52" fillId="0" borderId="0"/>
    <xf numFmtId="0" fontId="7" fillId="0" borderId="0"/>
  </cellStyleXfs>
  <cellXfs count="427">
    <xf numFmtId="0" fontId="0" fillId="0" borderId="0" xfId="0"/>
    <xf numFmtId="3" fontId="22" fillId="2" borderId="4" xfId="14" applyNumberFormat="1" applyFont="1" applyFill="1" applyBorder="1" applyAlignment="1">
      <alignment horizontal="right" vertical="center"/>
    </xf>
    <xf numFmtId="0" fontId="6" fillId="0" borderId="0" xfId="10" applyFont="1" applyAlignment="1">
      <alignment horizontal="centerContinuous" vertical="center"/>
    </xf>
    <xf numFmtId="0" fontId="6" fillId="0" borderId="0" xfId="1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10" applyFont="1" applyAlignment="1">
      <alignment horizontal="centerContinuous" vertical="center"/>
    </xf>
    <xf numFmtId="0" fontId="6" fillId="0" borderId="1" xfId="10" applyFont="1" applyBorder="1" applyAlignment="1">
      <alignment horizontal="centerContinuous" vertical="center"/>
    </xf>
    <xf numFmtId="0" fontId="8" fillId="0" borderId="0" xfId="10" applyFont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8" fillId="0" borderId="0" xfId="10" applyFont="1" applyAlignment="1">
      <alignment vertical="center"/>
    </xf>
    <xf numFmtId="3" fontId="6" fillId="0" borderId="0" xfId="10" applyNumberFormat="1" applyFont="1" applyAlignment="1">
      <alignment vertical="center"/>
    </xf>
    <xf numFmtId="0" fontId="29" fillId="0" borderId="0" xfId="8" applyFont="1" applyAlignment="1">
      <alignment vertical="center"/>
    </xf>
    <xf numFmtId="0" fontId="27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42" fillId="0" borderId="0" xfId="8" applyFont="1" applyAlignment="1">
      <alignment vertical="center"/>
    </xf>
    <xf numFmtId="3" fontId="29" fillId="0" borderId="0" xfId="8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1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3" fontId="16" fillId="0" borderId="4" xfId="14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4" fontId="16" fillId="0" borderId="4" xfId="14" applyNumberFormat="1" applyFont="1" applyBorder="1" applyAlignment="1">
      <alignment horizontal="right" vertical="center"/>
    </xf>
    <xf numFmtId="0" fontId="20" fillId="0" borderId="4" xfId="0" applyFont="1" applyBorder="1" applyAlignment="1">
      <alignment vertical="center" wrapText="1"/>
    </xf>
    <xf numFmtId="3" fontId="20" fillId="0" borderId="4" xfId="14" applyNumberFormat="1" applyFont="1" applyBorder="1" applyAlignment="1">
      <alignment horizontal="right" vertical="center"/>
    </xf>
    <xf numFmtId="0" fontId="21" fillId="0" borderId="4" xfId="0" applyFont="1" applyBorder="1" applyAlignment="1">
      <alignment vertical="center" wrapText="1"/>
    </xf>
    <xf numFmtId="3" fontId="21" fillId="0" borderId="4" xfId="14" applyNumberFormat="1" applyFont="1" applyBorder="1" applyAlignment="1">
      <alignment horizontal="right" vertical="center"/>
    </xf>
    <xf numFmtId="4" fontId="20" fillId="0" borderId="4" xfId="14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0" xfId="12" applyFont="1" applyAlignment="1">
      <alignment horizontal="center"/>
    </xf>
    <xf numFmtId="0" fontId="19" fillId="0" borderId="0" xfId="12" applyFont="1"/>
    <xf numFmtId="0" fontId="17" fillId="0" borderId="0" xfId="12" applyFont="1"/>
    <xf numFmtId="0" fontId="50" fillId="0" borderId="0" xfId="12" applyFont="1"/>
    <xf numFmtId="0" fontId="26" fillId="0" borderId="0" xfId="12" applyFont="1" applyAlignment="1">
      <alignment horizontal="center" vertical="center"/>
    </xf>
    <xf numFmtId="0" fontId="50" fillId="0" borderId="0" xfId="12" applyFont="1" applyAlignment="1">
      <alignment vertical="center"/>
    </xf>
    <xf numFmtId="0" fontId="19" fillId="0" borderId="0" xfId="12" applyFont="1" applyAlignment="1">
      <alignment vertical="center"/>
    </xf>
    <xf numFmtId="0" fontId="22" fillId="0" borderId="0" xfId="12" applyFont="1" applyAlignment="1">
      <alignment horizontal="center"/>
    </xf>
    <xf numFmtId="0" fontId="45" fillId="0" borderId="0" xfId="12" applyFont="1" applyAlignment="1">
      <alignment horizontal="right" vertical="center"/>
    </xf>
    <xf numFmtId="0" fontId="15" fillId="0" borderId="0" xfId="12" applyFont="1"/>
    <xf numFmtId="168" fontId="16" fillId="0" borderId="4" xfId="15" applyNumberFormat="1" applyFont="1" applyFill="1" applyBorder="1" applyAlignment="1">
      <alignment horizontal="right" vertical="center"/>
    </xf>
    <xf numFmtId="0" fontId="14" fillId="0" borderId="0" xfId="12" applyFont="1" applyAlignment="1">
      <alignment vertical="center"/>
    </xf>
    <xf numFmtId="0" fontId="20" fillId="0" borderId="4" xfId="12" applyFont="1" applyBorder="1" applyAlignment="1">
      <alignment horizontal="center" vertical="center"/>
    </xf>
    <xf numFmtId="0" fontId="20" fillId="0" borderId="4" xfId="12" applyFont="1" applyBorder="1" applyAlignment="1">
      <alignment vertical="center"/>
    </xf>
    <xf numFmtId="168" fontId="20" fillId="0" borderId="4" xfId="15" applyNumberFormat="1" applyFont="1" applyFill="1" applyBorder="1" applyAlignment="1">
      <alignment horizontal="right" vertical="center"/>
    </xf>
    <xf numFmtId="168" fontId="13" fillId="0" borderId="4" xfId="15" applyNumberFormat="1" applyFont="1" applyFill="1" applyBorder="1" applyAlignment="1">
      <alignment horizontal="right" vertical="center"/>
    </xf>
    <xf numFmtId="168" fontId="44" fillId="0" borderId="4" xfId="12" applyNumberFormat="1" applyFont="1" applyBorder="1" applyAlignment="1">
      <alignment vertical="center"/>
    </xf>
    <xf numFmtId="168" fontId="19" fillId="0" borderId="0" xfId="12" applyNumberFormat="1" applyFont="1"/>
    <xf numFmtId="0" fontId="28" fillId="0" borderId="0" xfId="7" applyFont="1" applyAlignment="1">
      <alignment vertical="center"/>
    </xf>
    <xf numFmtId="0" fontId="29" fillId="0" borderId="0" xfId="7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7" applyFont="1" applyAlignment="1">
      <alignment vertical="center"/>
    </xf>
    <xf numFmtId="0" fontId="31" fillId="0" borderId="0" xfId="7" applyFont="1" applyAlignment="1">
      <alignment horizontal="center" vertical="center"/>
    </xf>
    <xf numFmtId="0" fontId="32" fillId="0" borderId="0" xfId="7" applyFont="1" applyAlignment="1">
      <alignment vertical="center"/>
    </xf>
    <xf numFmtId="0" fontId="33" fillId="0" borderId="0" xfId="7" applyFont="1" applyAlignment="1">
      <alignment vertical="center"/>
    </xf>
    <xf numFmtId="0" fontId="34" fillId="0" borderId="0" xfId="7" applyFont="1" applyAlignment="1">
      <alignment vertical="center"/>
    </xf>
    <xf numFmtId="3" fontId="28" fillId="0" borderId="0" xfId="7" applyNumberFormat="1" applyFont="1" applyAlignment="1">
      <alignment vertical="center"/>
    </xf>
    <xf numFmtId="3" fontId="32" fillId="0" borderId="0" xfId="7" applyNumberFormat="1" applyFont="1" applyAlignment="1">
      <alignment vertical="center"/>
    </xf>
    <xf numFmtId="0" fontId="35" fillId="0" borderId="0" xfId="7" applyFont="1" applyAlignment="1">
      <alignment vertical="center"/>
    </xf>
    <xf numFmtId="3" fontId="36" fillId="0" borderId="0" xfId="7" applyNumberFormat="1" applyFont="1" applyAlignment="1">
      <alignment horizontal="center" vertical="center"/>
    </xf>
    <xf numFmtId="0" fontId="27" fillId="0" borderId="0" xfId="7" applyFont="1" applyAlignment="1">
      <alignment horizontal="left" vertical="center"/>
    </xf>
    <xf numFmtId="0" fontId="29" fillId="0" borderId="0" xfId="7" applyFont="1" applyAlignment="1">
      <alignment horizontal="right" vertical="center"/>
    </xf>
    <xf numFmtId="0" fontId="29" fillId="0" borderId="0" xfId="8" applyFont="1" applyAlignment="1">
      <alignment horizontal="center" vertical="center"/>
    </xf>
    <xf numFmtId="0" fontId="27" fillId="0" borderId="0" xfId="8" applyFont="1" applyAlignment="1">
      <alignment horizontal="center" vertical="center"/>
    </xf>
    <xf numFmtId="0" fontId="15" fillId="2" borderId="0" xfId="7" applyFont="1" applyFill="1" applyAlignment="1">
      <alignment horizontal="left" vertical="center"/>
    </xf>
    <xf numFmtId="0" fontId="14" fillId="2" borderId="0" xfId="9" applyFont="1" applyFill="1" applyAlignment="1">
      <alignment vertical="center"/>
    </xf>
    <xf numFmtId="0" fontId="53" fillId="2" borderId="0" xfId="9" applyFont="1" applyFill="1" applyAlignment="1">
      <alignment vertical="center"/>
    </xf>
    <xf numFmtId="0" fontId="54" fillId="2" borderId="0" xfId="9" applyFont="1" applyFill="1" applyAlignment="1">
      <alignment horizontal="center" vertical="center"/>
    </xf>
    <xf numFmtId="0" fontId="54" fillId="2" borderId="0" xfId="9" applyFont="1" applyFill="1" applyAlignment="1">
      <alignment vertical="center"/>
    </xf>
    <xf numFmtId="0" fontId="15" fillId="2" borderId="0" xfId="9" applyFont="1" applyFill="1" applyAlignment="1">
      <alignment horizontal="center" vertical="center"/>
    </xf>
    <xf numFmtId="0" fontId="14" fillId="2" borderId="0" xfId="9" applyFont="1" applyFill="1" applyAlignment="1">
      <alignment horizontal="center" vertical="center"/>
    </xf>
    <xf numFmtId="0" fontId="37" fillId="0" borderId="0" xfId="7" applyFont="1" applyAlignment="1">
      <alignment vertical="center"/>
    </xf>
    <xf numFmtId="0" fontId="18" fillId="0" borderId="7" xfId="7" applyFont="1" applyBorder="1" applyAlignment="1">
      <alignment horizontal="center" vertical="center" wrapText="1"/>
    </xf>
    <xf numFmtId="0" fontId="18" fillId="0" borderId="9" xfId="7" applyFont="1" applyBorder="1" applyAlignment="1">
      <alignment horizontal="center" vertical="center" wrapText="1"/>
    </xf>
    <xf numFmtId="0" fontId="18" fillId="0" borderId="4" xfId="7" applyFont="1" applyBorder="1" applyAlignment="1">
      <alignment horizontal="center" vertical="center"/>
    </xf>
    <xf numFmtId="0" fontId="18" fillId="0" borderId="4" xfId="7" applyFont="1" applyBorder="1" applyAlignment="1">
      <alignment horizontal="left" vertical="center"/>
    </xf>
    <xf numFmtId="3" fontId="18" fillId="0" borderId="4" xfId="7" applyNumberFormat="1" applyFont="1" applyBorder="1" applyAlignment="1">
      <alignment horizontal="right" vertical="center"/>
    </xf>
    <xf numFmtId="4" fontId="18" fillId="0" borderId="4" xfId="7" applyNumberFormat="1" applyFont="1" applyBorder="1" applyAlignment="1">
      <alignment vertical="center"/>
    </xf>
    <xf numFmtId="0" fontId="18" fillId="0" borderId="4" xfId="7" applyFont="1" applyBorder="1" applyAlignment="1">
      <alignment horizontal="justify" vertical="center"/>
    </xf>
    <xf numFmtId="0" fontId="37" fillId="0" borderId="4" xfId="7" applyFont="1" applyBorder="1" applyAlignment="1">
      <alignment horizontal="center" vertical="center"/>
    </xf>
    <xf numFmtId="0" fontId="37" fillId="0" borderId="4" xfId="7" applyFont="1" applyBorder="1" applyAlignment="1">
      <alignment horizontal="justify" vertical="center"/>
    </xf>
    <xf numFmtId="3" fontId="37" fillId="0" borderId="4" xfId="7" applyNumberFormat="1" applyFont="1" applyBorder="1" applyAlignment="1">
      <alignment vertical="center"/>
    </xf>
    <xf numFmtId="4" fontId="37" fillId="0" borderId="4" xfId="7" applyNumberFormat="1" applyFont="1" applyBorder="1" applyAlignment="1">
      <alignment vertical="center"/>
    </xf>
    <xf numFmtId="3" fontId="18" fillId="0" borderId="4" xfId="7" applyNumberFormat="1" applyFont="1" applyBorder="1" applyAlignment="1">
      <alignment vertical="center"/>
    </xf>
    <xf numFmtId="0" fontId="37" fillId="0" borderId="4" xfId="7" applyFont="1" applyBorder="1" applyAlignment="1">
      <alignment horizontal="justify" vertical="center" wrapText="1"/>
    </xf>
    <xf numFmtId="0" fontId="25" fillId="0" borderId="4" xfId="0" applyFont="1" applyBorder="1" applyAlignment="1">
      <alignment horizontal="center" vertical="center" wrapText="1"/>
    </xf>
    <xf numFmtId="3" fontId="22" fillId="0" borderId="4" xfId="14" applyNumberFormat="1" applyFont="1" applyBorder="1" applyAlignment="1">
      <alignment horizontal="right" vertical="center"/>
    </xf>
    <xf numFmtId="4" fontId="22" fillId="0" borderId="4" xfId="14" applyNumberFormat="1" applyFont="1" applyBorder="1" applyAlignment="1">
      <alignment horizontal="right" vertical="center"/>
    </xf>
    <xf numFmtId="0" fontId="22" fillId="0" borderId="4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3" fontId="25" fillId="0" borderId="4" xfId="14" applyNumberFormat="1" applyFont="1" applyBorder="1" applyAlignment="1">
      <alignment horizontal="right" vertical="center"/>
    </xf>
    <xf numFmtId="0" fontId="39" fillId="0" borderId="4" xfId="0" applyFont="1" applyBorder="1" applyAlignment="1">
      <alignment vertical="center" wrapText="1"/>
    </xf>
    <xf numFmtId="4" fontId="25" fillId="0" borderId="4" xfId="14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 wrapText="1"/>
    </xf>
    <xf numFmtId="0" fontId="29" fillId="2" borderId="0" xfId="7" applyFont="1" applyFill="1" applyAlignment="1">
      <alignment horizontal="center" vertical="center"/>
    </xf>
    <xf numFmtId="0" fontId="37" fillId="2" borderId="0" xfId="7" applyFont="1" applyFill="1" applyAlignment="1">
      <alignment vertical="center"/>
    </xf>
    <xf numFmtId="3" fontId="18" fillId="2" borderId="4" xfId="7" applyNumberFormat="1" applyFont="1" applyFill="1" applyBorder="1" applyAlignment="1">
      <alignment horizontal="right" vertical="center"/>
    </xf>
    <xf numFmtId="3" fontId="37" fillId="2" borderId="4" xfId="7" applyNumberFormat="1" applyFont="1" applyFill="1" applyBorder="1" applyAlignment="1">
      <alignment vertical="center"/>
    </xf>
    <xf numFmtId="3" fontId="18" fillId="2" borderId="4" xfId="7" applyNumberFormat="1" applyFont="1" applyFill="1" applyBorder="1" applyAlignment="1">
      <alignment vertical="center"/>
    </xf>
    <xf numFmtId="3" fontId="36" fillId="2" borderId="0" xfId="7" applyNumberFormat="1" applyFont="1" applyFill="1" applyAlignment="1">
      <alignment horizontal="center" vertical="center"/>
    </xf>
    <xf numFmtId="3" fontId="28" fillId="2" borderId="0" xfId="7" applyNumberFormat="1" applyFont="1" applyFill="1" applyAlignment="1">
      <alignment vertical="center"/>
    </xf>
    <xf numFmtId="0" fontId="28" fillId="2" borderId="0" xfId="7" applyFont="1" applyFill="1" applyAlignment="1">
      <alignment vertical="center"/>
    </xf>
    <xf numFmtId="0" fontId="37" fillId="0" borderId="4" xfId="0" applyFont="1" applyBorder="1" applyAlignment="1">
      <alignment horizontal="justify" vertical="center"/>
    </xf>
    <xf numFmtId="0" fontId="16" fillId="0" borderId="0" xfId="7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55" fillId="0" borderId="0" xfId="7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4" xfId="7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3" fontId="20" fillId="0" borderId="0" xfId="0" applyNumberFormat="1" applyFont="1" applyAlignment="1">
      <alignment vertical="center"/>
    </xf>
    <xf numFmtId="169" fontId="20" fillId="0" borderId="0" xfId="17" applyNumberFormat="1" applyFont="1" applyFill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37" fillId="0" borderId="4" xfId="7" quotePrefix="1" applyFont="1" applyBorder="1" applyAlignment="1">
      <alignment horizontal="center" vertical="center"/>
    </xf>
    <xf numFmtId="0" fontId="37" fillId="2" borderId="4" xfId="7" quotePrefix="1" applyFont="1" applyFill="1" applyBorder="1" applyAlignment="1">
      <alignment horizontal="center" vertical="center"/>
    </xf>
    <xf numFmtId="4" fontId="18" fillId="2" borderId="4" xfId="7" applyNumberFormat="1" applyFont="1" applyFill="1" applyBorder="1" applyAlignment="1">
      <alignment horizontal="right" vertical="center"/>
    </xf>
    <xf numFmtId="0" fontId="37" fillId="0" borderId="0" xfId="8" applyFont="1" applyAlignment="1">
      <alignment vertical="center"/>
    </xf>
    <xf numFmtId="0" fontId="18" fillId="2" borderId="9" xfId="7" applyFont="1" applyFill="1" applyBorder="1" applyAlignment="1">
      <alignment horizontal="center" vertical="center" wrapText="1"/>
    </xf>
    <xf numFmtId="0" fontId="18" fillId="2" borderId="7" xfId="7" applyFont="1" applyFill="1" applyBorder="1" applyAlignment="1">
      <alignment vertical="center" wrapText="1"/>
    </xf>
    <xf numFmtId="3" fontId="37" fillId="0" borderId="0" xfId="8" applyNumberFormat="1" applyFont="1" applyAlignment="1">
      <alignment vertical="center"/>
    </xf>
    <xf numFmtId="0" fontId="37" fillId="2" borderId="4" xfId="7" applyFont="1" applyFill="1" applyBorder="1" applyAlignment="1">
      <alignment horizontal="center" vertical="center"/>
    </xf>
    <xf numFmtId="0" fontId="18" fillId="2" borderId="4" xfId="8" applyFont="1" applyFill="1" applyBorder="1" applyAlignment="1">
      <alignment horizontal="center" vertical="center"/>
    </xf>
    <xf numFmtId="0" fontId="18" fillId="2" borderId="4" xfId="8" applyFont="1" applyFill="1" applyBorder="1" applyAlignment="1">
      <alignment horizontal="justify" vertical="center"/>
    </xf>
    <xf numFmtId="3" fontId="56" fillId="2" borderId="4" xfId="8" applyNumberFormat="1" applyFont="1" applyFill="1" applyBorder="1" applyAlignment="1">
      <alignment horizontal="right" vertical="center"/>
    </xf>
    <xf numFmtId="3" fontId="56" fillId="2" borderId="4" xfId="8" applyNumberFormat="1" applyFont="1" applyFill="1" applyBorder="1" applyAlignment="1">
      <alignment vertical="center"/>
    </xf>
    <xf numFmtId="0" fontId="37" fillId="2" borderId="4" xfId="8" applyFont="1" applyFill="1" applyBorder="1" applyAlignment="1">
      <alignment vertical="center"/>
    </xf>
    <xf numFmtId="3" fontId="18" fillId="2" borderId="4" xfId="8" applyNumberFormat="1" applyFont="1" applyFill="1" applyBorder="1" applyAlignment="1">
      <alignment horizontal="right" vertical="center"/>
    </xf>
    <xf numFmtId="0" fontId="37" fillId="2" borderId="4" xfId="8" applyFont="1" applyFill="1" applyBorder="1" applyAlignment="1">
      <alignment horizontal="center" vertical="center"/>
    </xf>
    <xf numFmtId="0" fontId="37" fillId="2" borderId="4" xfId="8" applyFont="1" applyFill="1" applyBorder="1" applyAlignment="1">
      <alignment horizontal="justify" vertical="center"/>
    </xf>
    <xf numFmtId="3" fontId="37" fillId="2" borderId="4" xfId="8" applyNumberFormat="1" applyFont="1" applyFill="1" applyBorder="1" applyAlignment="1">
      <alignment vertical="center"/>
    </xf>
    <xf numFmtId="3" fontId="37" fillId="2" borderId="4" xfId="8" applyNumberFormat="1" applyFont="1" applyFill="1" applyBorder="1" applyAlignment="1">
      <alignment horizontal="right" vertical="center"/>
    </xf>
    <xf numFmtId="4" fontId="37" fillId="2" borderId="4" xfId="7" applyNumberFormat="1" applyFont="1" applyFill="1" applyBorder="1" applyAlignment="1">
      <alignment horizontal="right" vertical="center"/>
    </xf>
    <xf numFmtId="0" fontId="37" fillId="2" borderId="4" xfId="7" applyFont="1" applyFill="1" applyBorder="1" applyAlignment="1">
      <alignment horizontal="justify" vertical="center"/>
    </xf>
    <xf numFmtId="3" fontId="18" fillId="2" borderId="4" xfId="8" applyNumberFormat="1" applyFont="1" applyFill="1" applyBorder="1" applyAlignment="1">
      <alignment vertical="center"/>
    </xf>
    <xf numFmtId="0" fontId="37" fillId="2" borderId="4" xfId="8" applyFont="1" applyFill="1" applyBorder="1" applyAlignment="1">
      <alignment horizontal="justify" vertical="center" wrapText="1"/>
    </xf>
    <xf numFmtId="4" fontId="37" fillId="2" borderId="4" xfId="8" applyNumberFormat="1" applyFont="1" applyFill="1" applyBorder="1" applyAlignment="1">
      <alignment horizontal="right" vertical="center"/>
    </xf>
    <xf numFmtId="4" fontId="18" fillId="2" borderId="4" xfId="8" applyNumberFormat="1" applyFont="1" applyFill="1" applyBorder="1" applyAlignment="1">
      <alignment horizontal="right" vertical="center"/>
    </xf>
    <xf numFmtId="0" fontId="18" fillId="2" borderId="4" xfId="7" applyFont="1" applyFill="1" applyBorder="1" applyAlignment="1">
      <alignment horizontal="justify" vertical="center"/>
    </xf>
    <xf numFmtId="164" fontId="37" fillId="2" borderId="4" xfId="17" applyFont="1" applyFill="1" applyBorder="1" applyAlignment="1">
      <alignment horizontal="right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justify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4" fontId="20" fillId="0" borderId="4" xfId="7" applyNumberFormat="1" applyFont="1" applyBorder="1" applyAlignment="1">
      <alignment horizontal="right" vertical="center"/>
    </xf>
    <xf numFmtId="0" fontId="20" fillId="0" borderId="4" xfId="0" quotePrefix="1" applyFont="1" applyBorder="1" applyAlignment="1">
      <alignment horizontal="center" vertical="center"/>
    </xf>
    <xf numFmtId="0" fontId="41" fillId="0" borderId="4" xfId="0" applyFont="1" applyBorder="1" applyAlignment="1">
      <alignment horizontal="justify" vertical="center"/>
    </xf>
    <xf numFmtId="3" fontId="41" fillId="0" borderId="4" xfId="14" applyNumberFormat="1" applyFont="1" applyBorder="1" applyAlignment="1">
      <alignment horizontal="right" vertical="center"/>
    </xf>
    <xf numFmtId="0" fontId="58" fillId="2" borderId="0" xfId="7" applyFont="1" applyFill="1" applyAlignment="1">
      <alignment vertical="center"/>
    </xf>
    <xf numFmtId="0" fontId="57" fillId="2" borderId="0" xfId="10" applyFont="1" applyFill="1" applyAlignment="1">
      <alignment horizontal="centerContinuous" vertical="center"/>
    </xf>
    <xf numFmtId="0" fontId="57" fillId="2" borderId="0" xfId="10" applyFont="1" applyFill="1" applyAlignment="1">
      <alignment vertical="center"/>
    </xf>
    <xf numFmtId="0" fontId="57" fillId="2" borderId="0" xfId="0" applyFont="1" applyFill="1" applyAlignment="1">
      <alignment horizontal="center" vertical="center"/>
    </xf>
    <xf numFmtId="0" fontId="59" fillId="2" borderId="0" xfId="10" applyFont="1" applyFill="1" applyAlignment="1">
      <alignment vertical="center"/>
    </xf>
    <xf numFmtId="0" fontId="58" fillId="2" borderId="4" xfId="10" applyFont="1" applyFill="1" applyBorder="1" applyAlignment="1">
      <alignment horizontal="center" vertical="center"/>
    </xf>
    <xf numFmtId="0" fontId="58" fillId="2" borderId="4" xfId="10" applyFont="1" applyFill="1" applyBorder="1" applyAlignment="1">
      <alignment horizontal="center" vertical="center" wrapText="1"/>
    </xf>
    <xf numFmtId="0" fontId="57" fillId="2" borderId="4" xfId="10" applyFont="1" applyFill="1" applyBorder="1" applyAlignment="1">
      <alignment horizontal="center" vertical="center"/>
    </xf>
    <xf numFmtId="0" fontId="20" fillId="2" borderId="4" xfId="9" applyFont="1" applyFill="1" applyBorder="1" applyAlignment="1">
      <alignment horizontal="center" vertical="center"/>
    </xf>
    <xf numFmtId="0" fontId="16" fillId="2" borderId="4" xfId="9" applyFont="1" applyFill="1" applyBorder="1" applyAlignment="1">
      <alignment horizontal="center" vertical="center"/>
    </xf>
    <xf numFmtId="3" fontId="16" fillId="2" borderId="4" xfId="9" applyNumberFormat="1" applyFont="1" applyFill="1" applyBorder="1" applyAlignment="1">
      <alignment horizontal="right" vertical="center"/>
    </xf>
    <xf numFmtId="3" fontId="16" fillId="2" borderId="4" xfId="9" applyNumberFormat="1" applyFont="1" applyFill="1" applyBorder="1" applyAlignment="1">
      <alignment vertical="center"/>
    </xf>
    <xf numFmtId="166" fontId="20" fillId="2" borderId="4" xfId="11" applyNumberFormat="1" applyFont="1" applyFill="1" applyBorder="1" applyAlignment="1">
      <alignment horizontal="center" vertical="center"/>
    </xf>
    <xf numFmtId="3" fontId="20" fillId="2" borderId="4" xfId="10" applyNumberFormat="1" applyFont="1" applyFill="1" applyBorder="1" applyAlignment="1">
      <alignment vertical="center"/>
    </xf>
    <xf numFmtId="3" fontId="20" fillId="2" borderId="4" xfId="9" applyNumberFormat="1" applyFont="1" applyFill="1" applyBorder="1" applyAlignment="1">
      <alignment vertical="center"/>
    </xf>
    <xf numFmtId="1" fontId="20" fillId="2" borderId="4" xfId="9" applyNumberFormat="1" applyFont="1" applyFill="1" applyBorder="1" applyAlignment="1">
      <alignment vertical="center"/>
    </xf>
    <xf numFmtId="3" fontId="20" fillId="2" borderId="4" xfId="3" applyNumberFormat="1" applyFont="1" applyFill="1" applyBorder="1" applyAlignment="1">
      <alignment vertical="center"/>
    </xf>
    <xf numFmtId="0" fontId="38" fillId="0" borderId="0" xfId="4" applyFont="1" applyAlignment="1">
      <alignment horizontal="center" vertical="center"/>
    </xf>
    <xf numFmtId="0" fontId="30" fillId="0" borderId="0" xfId="4" applyFont="1" applyAlignment="1">
      <alignment vertical="center"/>
    </xf>
    <xf numFmtId="3" fontId="41" fillId="0" borderId="0" xfId="0" applyNumberFormat="1" applyFont="1" applyAlignment="1">
      <alignment vertical="center"/>
    </xf>
    <xf numFmtId="3" fontId="27" fillId="0" borderId="0" xfId="8" applyNumberFormat="1" applyFont="1" applyAlignment="1">
      <alignment vertical="center"/>
    </xf>
    <xf numFmtId="3" fontId="42" fillId="0" borderId="0" xfId="8" applyNumberFormat="1" applyFont="1" applyAlignment="1">
      <alignment vertical="center"/>
    </xf>
    <xf numFmtId="0" fontId="29" fillId="2" borderId="0" xfId="8" applyFont="1" applyFill="1" applyAlignment="1">
      <alignment horizontal="center" vertical="center"/>
    </xf>
    <xf numFmtId="0" fontId="37" fillId="2" borderId="0" xfId="8" applyFont="1" applyFill="1" applyAlignment="1">
      <alignment horizontal="right" vertical="center"/>
    </xf>
    <xf numFmtId="3" fontId="37" fillId="2" borderId="0" xfId="8" applyNumberFormat="1" applyFont="1" applyFill="1" applyAlignment="1">
      <alignment vertical="center"/>
    </xf>
    <xf numFmtId="3" fontId="29" fillId="2" borderId="0" xfId="8" applyNumberFormat="1" applyFont="1" applyFill="1" applyAlignment="1">
      <alignment vertical="center"/>
    </xf>
    <xf numFmtId="0" fontId="29" fillId="2" borderId="0" xfId="8" applyFont="1" applyFill="1" applyAlignment="1">
      <alignment vertical="center"/>
    </xf>
    <xf numFmtId="3" fontId="25" fillId="2" borderId="4" xfId="14" applyNumberFormat="1" applyFont="1" applyFill="1" applyBorder="1" applyAlignment="1">
      <alignment horizontal="right" vertical="center"/>
    </xf>
    <xf numFmtId="3" fontId="14" fillId="2" borderId="0" xfId="9" applyNumberFormat="1" applyFont="1" applyFill="1" applyAlignment="1">
      <alignment vertical="center"/>
    </xf>
    <xf numFmtId="0" fontId="6" fillId="2" borderId="0" xfId="10" applyFont="1" applyFill="1" applyAlignment="1">
      <alignment vertical="center"/>
    </xf>
    <xf numFmtId="0" fontId="6" fillId="2" borderId="0" xfId="6" applyFont="1" applyFill="1" applyAlignment="1">
      <alignment horizontal="centerContinuous" vertical="center"/>
    </xf>
    <xf numFmtId="168" fontId="16" fillId="2" borderId="4" xfId="15" applyNumberFormat="1" applyFont="1" applyFill="1" applyBorder="1" applyAlignment="1">
      <alignment horizontal="right" vertical="center"/>
    </xf>
    <xf numFmtId="168" fontId="20" fillId="2" borderId="4" xfId="15" applyNumberFormat="1" applyFont="1" applyFill="1" applyBorder="1" applyAlignment="1">
      <alignment horizontal="right" vertical="center"/>
    </xf>
    <xf numFmtId="0" fontId="19" fillId="2" borderId="0" xfId="12" applyFont="1" applyFill="1"/>
    <xf numFmtId="0" fontId="2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/>
    </xf>
    <xf numFmtId="4" fontId="25" fillId="2" borderId="4" xfId="14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39" fillId="2" borderId="0" xfId="0" applyFont="1" applyFill="1" applyAlignment="1">
      <alignment vertical="center"/>
    </xf>
    <xf numFmtId="167" fontId="43" fillId="2" borderId="4" xfId="0" applyNumberFormat="1" applyFont="1" applyFill="1" applyBorder="1" applyAlignment="1">
      <alignment horizontal="right" vertical="center"/>
    </xf>
    <xf numFmtId="3" fontId="34" fillId="0" borderId="0" xfId="7" applyNumberFormat="1" applyFont="1" applyAlignment="1">
      <alignment vertical="center"/>
    </xf>
    <xf numFmtId="0" fontId="16" fillId="2" borderId="4" xfId="9" applyFont="1" applyFill="1" applyBorder="1" applyAlignment="1">
      <alignment horizontal="left" vertical="center" wrapText="1"/>
    </xf>
    <xf numFmtId="3" fontId="16" fillId="2" borderId="4" xfId="11" applyNumberFormat="1" applyFont="1" applyFill="1" applyBorder="1" applyAlignment="1">
      <alignment horizontal="center" vertical="center"/>
    </xf>
    <xf numFmtId="4" fontId="22" fillId="2" borderId="4" xfId="14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vertical="center"/>
    </xf>
    <xf numFmtId="3" fontId="43" fillId="0" borderId="0" xfId="0" applyNumberFormat="1" applyFont="1" applyAlignment="1">
      <alignment vertical="center"/>
    </xf>
    <xf numFmtId="3" fontId="30" fillId="0" borderId="0" xfId="8" applyNumberFormat="1" applyFont="1" applyAlignment="1">
      <alignment vertical="center"/>
    </xf>
    <xf numFmtId="0" fontId="39" fillId="2" borderId="0" xfId="4" applyFont="1" applyFill="1" applyAlignment="1">
      <alignment horizontal="right" vertical="center"/>
    </xf>
    <xf numFmtId="0" fontId="22" fillId="0" borderId="0" xfId="4" applyFont="1" applyAlignment="1">
      <alignment vertical="center"/>
    </xf>
    <xf numFmtId="0" fontId="25" fillId="0" borderId="0" xfId="4" applyFont="1" applyAlignment="1">
      <alignment horizontal="center" vertical="center"/>
    </xf>
    <xf numFmtId="0" fontId="25" fillId="2" borderId="0" xfId="4" applyFont="1" applyFill="1" applyAlignment="1">
      <alignment horizontal="right" vertical="center"/>
    </xf>
    <xf numFmtId="0" fontId="29" fillId="0" borderId="0" xfId="4" applyFont="1" applyAlignment="1">
      <alignment vertical="center"/>
    </xf>
    <xf numFmtId="0" fontId="25" fillId="0" borderId="0" xfId="4" applyFont="1" applyAlignment="1">
      <alignment horizontal="center" vertical="center" wrapText="1"/>
    </xf>
    <xf numFmtId="0" fontId="22" fillId="0" borderId="5" xfId="4" applyFont="1" applyBorder="1" applyAlignment="1" applyProtection="1">
      <alignment horizontal="center" vertical="center" wrapText="1"/>
      <protection locked="0"/>
    </xf>
    <xf numFmtId="0" fontId="22" fillId="2" borderId="5" xfId="4" applyFont="1" applyFill="1" applyBorder="1" applyAlignment="1" applyProtection="1">
      <alignment horizontal="center" vertical="center" wrapText="1"/>
      <protection locked="0"/>
    </xf>
    <xf numFmtId="3" fontId="27" fillId="0" borderId="0" xfId="4" applyNumberFormat="1" applyFont="1" applyAlignment="1">
      <alignment vertical="center"/>
    </xf>
    <xf numFmtId="0" fontId="27" fillId="0" borderId="0" xfId="4" applyFont="1" applyAlignment="1">
      <alignment vertical="center"/>
    </xf>
    <xf numFmtId="0" fontId="22" fillId="0" borderId="4" xfId="4" applyFont="1" applyBorder="1" applyAlignment="1" applyProtection="1">
      <alignment horizontal="center" vertical="center"/>
      <protection locked="0"/>
    </xf>
    <xf numFmtId="3" fontId="22" fillId="2" borderId="4" xfId="4" applyNumberFormat="1" applyFont="1" applyFill="1" applyBorder="1" applyAlignment="1" applyProtection="1">
      <alignment horizontal="right" vertical="center"/>
      <protection locked="0"/>
    </xf>
    <xf numFmtId="3" fontId="22" fillId="2" borderId="4" xfId="4" applyNumberFormat="1" applyFont="1" applyFill="1" applyBorder="1" applyAlignment="1" applyProtection="1">
      <alignment horizontal="right" vertical="center" wrapText="1"/>
      <protection locked="0"/>
    </xf>
    <xf numFmtId="3" fontId="27" fillId="0" borderId="0" xfId="4" applyNumberFormat="1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2" fillId="0" borderId="4" xfId="4" applyFont="1" applyBorder="1" applyAlignment="1" applyProtection="1">
      <alignment horizontal="justify" vertical="center" wrapText="1"/>
      <protection locked="0"/>
    </xf>
    <xf numFmtId="3" fontId="25" fillId="2" borderId="4" xfId="4" applyNumberFormat="1" applyFont="1" applyFill="1" applyBorder="1" applyAlignment="1" applyProtection="1">
      <alignment horizontal="right" vertical="center" wrapText="1"/>
      <protection locked="0"/>
    </xf>
    <xf numFmtId="0" fontId="39" fillId="0" borderId="4" xfId="4" applyFont="1" applyBorder="1" applyAlignment="1" applyProtection="1">
      <alignment horizontal="justify" vertical="center" wrapText="1"/>
      <protection locked="0"/>
    </xf>
    <xf numFmtId="0" fontId="25" fillId="0" borderId="4" xfId="4" applyFont="1" applyBorder="1" applyAlignment="1" applyProtection="1">
      <alignment horizontal="justify" vertical="center" wrapText="1"/>
      <protection locked="0"/>
    </xf>
    <xf numFmtId="0" fontId="25" fillId="0" borderId="4" xfId="4" applyFont="1" applyBorder="1" applyAlignment="1">
      <alignment horizontal="center" vertical="center"/>
    </xf>
    <xf numFmtId="0" fontId="25" fillId="0" borderId="4" xfId="4" applyFont="1" applyBorder="1" applyAlignment="1">
      <alignment horizontal="justify" vertical="center"/>
    </xf>
    <xf numFmtId="0" fontId="25" fillId="0" borderId="4" xfId="4" applyFont="1" applyBorder="1" applyAlignment="1" applyProtection="1">
      <alignment horizontal="center" vertical="center"/>
      <protection locked="0"/>
    </xf>
    <xf numFmtId="0" fontId="22" fillId="0" borderId="4" xfId="4" applyFont="1" applyBorder="1" applyAlignment="1">
      <alignment horizontal="center" vertical="center"/>
    </xf>
    <xf numFmtId="0" fontId="25" fillId="2" borderId="4" xfId="4" applyFont="1" applyFill="1" applyBorder="1" applyAlignment="1" applyProtection="1">
      <alignment horizontal="center" vertical="center"/>
      <protection locked="0"/>
    </xf>
    <xf numFmtId="0" fontId="25" fillId="2" borderId="4" xfId="4" applyFont="1" applyFill="1" applyBorder="1" applyAlignment="1" applyProtection="1">
      <alignment horizontal="justify" vertical="center" wrapText="1"/>
      <protection locked="0"/>
    </xf>
    <xf numFmtId="0" fontId="27" fillId="2" borderId="0" xfId="4" applyFont="1" applyFill="1" applyAlignment="1">
      <alignment horizontal="center" vertical="center"/>
    </xf>
    <xf numFmtId="0" fontId="29" fillId="2" borderId="0" xfId="4" applyFont="1" applyFill="1" applyAlignment="1">
      <alignment vertical="center"/>
    </xf>
    <xf numFmtId="0" fontId="22" fillId="0" borderId="4" xfId="4" applyFont="1" applyBorder="1" applyAlignment="1">
      <alignment horizontal="justify" vertical="center"/>
    </xf>
    <xf numFmtId="0" fontId="22" fillId="0" borderId="4" xfId="4" applyFont="1" applyBorder="1" applyAlignment="1">
      <alignment horizontal="center" vertical="center" wrapText="1"/>
    </xf>
    <xf numFmtId="0" fontId="22" fillId="0" borderId="4" xfId="4" applyFont="1" applyBorder="1" applyAlignment="1">
      <alignment vertical="center" wrapText="1"/>
    </xf>
    <xf numFmtId="0" fontId="18" fillId="0" borderId="0" xfId="4" applyFont="1" applyAlignment="1">
      <alignment vertical="center"/>
    </xf>
    <xf numFmtId="0" fontId="29" fillId="0" borderId="0" xfId="4" applyFont="1" applyAlignment="1">
      <alignment horizontal="center" vertical="center"/>
    </xf>
    <xf numFmtId="0" fontId="29" fillId="0" borderId="0" xfId="4" applyFont="1" applyAlignment="1">
      <alignment horizontal="right" vertical="center"/>
    </xf>
    <xf numFmtId="0" fontId="25" fillId="2" borderId="0" xfId="4" applyFont="1" applyFill="1" applyAlignment="1">
      <alignment vertical="center"/>
    </xf>
    <xf numFmtId="3" fontId="58" fillId="2" borderId="7" xfId="10" applyNumberFormat="1" applyFont="1" applyFill="1" applyBorder="1" applyAlignment="1">
      <alignment vertical="center"/>
    </xf>
    <xf numFmtId="3" fontId="57" fillId="2" borderId="4" xfId="10" applyNumberFormat="1" applyFont="1" applyFill="1" applyBorder="1" applyAlignment="1">
      <alignment horizontal="center" vertical="center"/>
    </xf>
    <xf numFmtId="3" fontId="57" fillId="2" borderId="4" xfId="10" applyNumberFormat="1" applyFont="1" applyFill="1" applyBorder="1" applyAlignment="1">
      <alignment vertical="center"/>
    </xf>
    <xf numFmtId="0" fontId="6" fillId="0" borderId="3" xfId="10" applyFont="1" applyBorder="1" applyAlignment="1">
      <alignment horizontal="centerContinuous" vertical="center"/>
    </xf>
    <xf numFmtId="3" fontId="41" fillId="2" borderId="4" xfId="9" applyNumberFormat="1" applyFont="1" applyFill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3" fontId="31" fillId="0" borderId="0" xfId="7" applyNumberFormat="1" applyFont="1" applyAlignment="1">
      <alignment horizontal="center" vertical="center"/>
    </xf>
    <xf numFmtId="3" fontId="22" fillId="2" borderId="4" xfId="7" applyNumberFormat="1" applyFont="1" applyFill="1" applyBorder="1" applyAlignment="1">
      <alignment horizontal="right" vertical="center"/>
    </xf>
    <xf numFmtId="3" fontId="25" fillId="0" borderId="4" xfId="7" applyNumberFormat="1" applyFont="1" applyBorder="1" applyAlignment="1">
      <alignment vertical="center"/>
    </xf>
    <xf numFmtId="3" fontId="25" fillId="2" borderId="4" xfId="7" applyNumberFormat="1" applyFont="1" applyFill="1" applyBorder="1" applyAlignment="1">
      <alignment vertical="center"/>
    </xf>
    <xf numFmtId="0" fontId="27" fillId="2" borderId="0" xfId="8" applyFont="1" applyFill="1" applyAlignment="1">
      <alignment horizontal="centerContinuous" vertical="center"/>
    </xf>
    <xf numFmtId="0" fontId="18" fillId="2" borderId="0" xfId="8" applyFont="1" applyFill="1" applyAlignment="1">
      <alignment horizontal="centerContinuous" vertical="center"/>
    </xf>
    <xf numFmtId="0" fontId="37" fillId="2" borderId="0" xfId="8" applyFont="1" applyFill="1" applyAlignment="1">
      <alignment horizontal="center" vertical="center"/>
    </xf>
    <xf numFmtId="3" fontId="38" fillId="2" borderId="0" xfId="8" applyNumberFormat="1" applyFont="1" applyFill="1" applyAlignment="1">
      <alignment horizontal="centerContinuous" vertical="center"/>
    </xf>
    <xf numFmtId="0" fontId="38" fillId="2" borderId="0" xfId="8" applyFont="1" applyFill="1" applyAlignment="1">
      <alignment horizontal="centerContinuous" vertical="center"/>
    </xf>
    <xf numFmtId="168" fontId="14" fillId="0" borderId="0" xfId="12" applyNumberFormat="1" applyFont="1" applyAlignment="1">
      <alignment vertical="center"/>
    </xf>
    <xf numFmtId="168" fontId="15" fillId="0" borderId="0" xfId="12" applyNumberFormat="1" applyFont="1"/>
    <xf numFmtId="3" fontId="22" fillId="0" borderId="0" xfId="4" applyNumberFormat="1" applyFont="1" applyAlignment="1">
      <alignment vertical="center"/>
    </xf>
    <xf numFmtId="1" fontId="25" fillId="0" borderId="4" xfId="20" applyNumberFormat="1" applyFont="1" applyBorder="1" applyAlignment="1">
      <alignment horizontal="left" vertical="center" wrapText="1"/>
    </xf>
    <xf numFmtId="167" fontId="25" fillId="0" borderId="4" xfId="17" quotePrefix="1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4" xfId="0" applyFont="1" applyFill="1" applyBorder="1" applyAlignment="1">
      <alignment horizontal="center" vertical="center"/>
    </xf>
    <xf numFmtId="3" fontId="22" fillId="2" borderId="4" xfId="0" applyNumberFormat="1" applyFont="1" applyFill="1" applyBorder="1" applyAlignment="1">
      <alignment vertical="center" wrapText="1"/>
    </xf>
    <xf numFmtId="3" fontId="27" fillId="2" borderId="0" xfId="4" applyNumberFormat="1" applyFont="1" applyFill="1" applyAlignment="1">
      <alignment horizontal="center" vertical="center"/>
    </xf>
    <xf numFmtId="3" fontId="26" fillId="2" borderId="0" xfId="4" applyNumberFormat="1" applyFont="1" applyFill="1" applyAlignment="1">
      <alignment horizontal="center" vertical="center"/>
    </xf>
    <xf numFmtId="3" fontId="22" fillId="2" borderId="0" xfId="4" applyNumberFormat="1" applyFont="1" applyFill="1" applyAlignment="1" applyProtection="1">
      <alignment horizontal="right" vertical="center" wrapText="1"/>
      <protection locked="0"/>
    </xf>
    <xf numFmtId="0" fontId="41" fillId="2" borderId="4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3" fontId="16" fillId="2" borderId="4" xfId="14" applyNumberFormat="1" applyFont="1" applyFill="1" applyBorder="1" applyAlignment="1">
      <alignment horizontal="right" vertical="center"/>
    </xf>
    <xf numFmtId="3" fontId="20" fillId="2" borderId="4" xfId="14" applyNumberFormat="1" applyFont="1" applyFill="1" applyBorder="1" applyAlignment="1">
      <alignment horizontal="right" vertical="center"/>
    </xf>
    <xf numFmtId="3" fontId="41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7" fillId="2" borderId="0" xfId="0" applyFont="1" applyFill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37" fillId="2" borderId="0" xfId="8" applyFont="1" applyFill="1" applyAlignment="1">
      <alignment vertical="center"/>
    </xf>
    <xf numFmtId="3" fontId="16" fillId="2" borderId="4" xfId="0" applyNumberFormat="1" applyFont="1" applyFill="1" applyBorder="1" applyAlignment="1">
      <alignment horizontal="right" vertical="center" wrapText="1"/>
    </xf>
    <xf numFmtId="3" fontId="20" fillId="2" borderId="4" xfId="0" applyNumberFormat="1" applyFont="1" applyFill="1" applyBorder="1" applyAlignment="1">
      <alignment horizontal="right" vertical="center" wrapText="1"/>
    </xf>
    <xf numFmtId="0" fontId="37" fillId="2" borderId="4" xfId="8" quotePrefix="1" applyFont="1" applyFill="1" applyBorder="1" applyAlignment="1">
      <alignment horizontal="center" vertical="center"/>
    </xf>
    <xf numFmtId="170" fontId="15" fillId="0" borderId="0" xfId="0" applyNumberFormat="1" applyFont="1" applyAlignment="1">
      <alignment vertical="center"/>
    </xf>
    <xf numFmtId="4" fontId="16" fillId="2" borderId="4" xfId="0" applyNumberFormat="1" applyFont="1" applyFill="1" applyBorder="1" applyAlignment="1">
      <alignment horizontal="right" vertical="center" wrapText="1"/>
    </xf>
    <xf numFmtId="1" fontId="14" fillId="2" borderId="4" xfId="9" applyNumberFormat="1" applyFont="1" applyFill="1" applyBorder="1" applyAlignment="1">
      <alignment vertical="center"/>
    </xf>
    <xf numFmtId="0" fontId="14" fillId="2" borderId="4" xfId="9" applyFont="1" applyFill="1" applyBorder="1" applyAlignment="1">
      <alignment vertical="center"/>
    </xf>
    <xf numFmtId="3" fontId="35" fillId="0" borderId="0" xfId="7" applyNumberFormat="1" applyFont="1" applyAlignment="1">
      <alignment vertical="center"/>
    </xf>
    <xf numFmtId="3" fontId="33" fillId="0" borderId="0" xfId="7" applyNumberFormat="1" applyFont="1" applyAlignment="1">
      <alignment vertical="center"/>
    </xf>
    <xf numFmtId="0" fontId="25" fillId="0" borderId="4" xfId="0" applyFont="1" applyBorder="1" applyAlignment="1">
      <alignment vertical="center"/>
    </xf>
    <xf numFmtId="167" fontId="22" fillId="0" borderId="4" xfId="17" quotePrefix="1" applyNumberFormat="1" applyFont="1" applyFill="1" applyBorder="1" applyAlignment="1">
      <alignment horizontal="center" vertical="center" wrapText="1"/>
    </xf>
    <xf numFmtId="0" fontId="37" fillId="0" borderId="4" xfId="0" applyFont="1" applyBorder="1" applyAlignment="1">
      <alignment vertical="center"/>
    </xf>
    <xf numFmtId="0" fontId="60" fillId="2" borderId="0" xfId="0" applyFont="1" applyFill="1" applyAlignment="1">
      <alignment vertical="center" wrapText="1"/>
    </xf>
    <xf numFmtId="0" fontId="61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62" fillId="2" borderId="0" xfId="7" applyFont="1" applyFill="1" applyAlignment="1">
      <alignment vertical="center"/>
    </xf>
    <xf numFmtId="0" fontId="57" fillId="2" borderId="0" xfId="8" applyFont="1" applyFill="1" applyAlignment="1">
      <alignment vertical="center"/>
    </xf>
    <xf numFmtId="0" fontId="61" fillId="2" borderId="0" xfId="0" applyFont="1" applyFill="1" applyAlignment="1">
      <alignment horizontal="right" vertical="center" wrapText="1"/>
    </xf>
    <xf numFmtId="3" fontId="61" fillId="2" borderId="0" xfId="14" applyNumberFormat="1" applyFont="1" applyFill="1" applyAlignment="1">
      <alignment horizontal="right" vertical="center" wrapText="1"/>
    </xf>
    <xf numFmtId="0" fontId="64" fillId="2" borderId="4" xfId="0" applyFont="1" applyFill="1" applyBorder="1" applyAlignment="1">
      <alignment horizontal="center" vertical="center" wrapText="1"/>
    </xf>
    <xf numFmtId="3" fontId="65" fillId="2" borderId="4" xfId="14" applyNumberFormat="1" applyFont="1" applyFill="1" applyBorder="1" applyAlignment="1">
      <alignment horizontal="center" vertical="center" wrapText="1"/>
    </xf>
    <xf numFmtId="3" fontId="64" fillId="2" borderId="4" xfId="14" applyNumberFormat="1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 vertical="center" wrapText="1"/>
    </xf>
    <xf numFmtId="0" fontId="61" fillId="2" borderId="4" xfId="0" applyFont="1" applyFill="1" applyBorder="1" applyAlignment="1">
      <alignment horizontal="center" vertical="center" wrapText="1"/>
    </xf>
    <xf numFmtId="3" fontId="61" fillId="2" borderId="4" xfId="14" applyNumberFormat="1" applyFont="1" applyFill="1" applyBorder="1" applyAlignment="1">
      <alignment horizontal="right" vertical="center" wrapText="1"/>
    </xf>
    <xf numFmtId="3" fontId="61" fillId="2" borderId="0" xfId="0" applyNumberFormat="1" applyFont="1" applyFill="1" applyAlignment="1">
      <alignment vertical="center" wrapText="1"/>
    </xf>
    <xf numFmtId="0" fontId="60" fillId="2" borderId="4" xfId="14" applyFont="1" applyFill="1" applyBorder="1" applyAlignment="1">
      <alignment horizontal="center" vertical="center" wrapText="1"/>
    </xf>
    <xf numFmtId="0" fontId="60" fillId="2" borderId="4" xfId="14" applyFont="1" applyFill="1" applyBorder="1" applyAlignment="1">
      <alignment vertical="center" wrapText="1"/>
    </xf>
    <xf numFmtId="3" fontId="60" fillId="2" borderId="4" xfId="14" applyNumberFormat="1" applyFont="1" applyFill="1" applyBorder="1" applyAlignment="1">
      <alignment horizontal="right" vertical="center" wrapText="1"/>
    </xf>
    <xf numFmtId="49" fontId="60" fillId="2" borderId="4" xfId="14" applyNumberFormat="1" applyFont="1" applyFill="1" applyBorder="1" applyAlignment="1">
      <alignment vertical="center"/>
    </xf>
    <xf numFmtId="0" fontId="60" fillId="2" borderId="4" xfId="14" applyFont="1" applyFill="1" applyBorder="1" applyAlignment="1">
      <alignment horizontal="center" vertical="center"/>
    </xf>
    <xf numFmtId="0" fontId="60" fillId="2" borderId="4" xfId="14" quotePrefix="1" applyFont="1" applyFill="1" applyBorder="1" applyAlignment="1">
      <alignment horizontal="center" vertical="center"/>
    </xf>
    <xf numFmtId="0" fontId="60" fillId="2" borderId="4" xfId="14" applyFont="1" applyFill="1" applyBorder="1" applyAlignment="1">
      <alignment horizontal="left" vertical="center"/>
    </xf>
    <xf numFmtId="0" fontId="60" fillId="2" borderId="4" xfId="0" applyFont="1" applyFill="1" applyBorder="1" applyAlignment="1">
      <alignment horizontal="left" vertical="center" wrapText="1"/>
    </xf>
    <xf numFmtId="167" fontId="60" fillId="2" borderId="4" xfId="0" applyNumberFormat="1" applyFont="1" applyFill="1" applyBorder="1" applyAlignment="1">
      <alignment horizontal="center" vertical="center" wrapText="1"/>
    </xf>
    <xf numFmtId="0" fontId="60" fillId="2" borderId="4" xfId="0" applyFont="1" applyFill="1" applyBorder="1" applyAlignment="1">
      <alignment vertical="center" wrapText="1"/>
    </xf>
    <xf numFmtId="3" fontId="60" fillId="2" borderId="4" xfId="0" applyNumberFormat="1" applyFont="1" applyFill="1" applyBorder="1" applyAlignment="1">
      <alignment vertical="center" wrapText="1"/>
    </xf>
    <xf numFmtId="0" fontId="22" fillId="0" borderId="4" xfId="4" applyFont="1" applyBorder="1" applyAlignment="1" applyProtection="1">
      <alignment horizontal="justify" vertical="center" wrapText="1"/>
      <protection locked="0"/>
    </xf>
    <xf numFmtId="0" fontId="25" fillId="0" borderId="4" xfId="4" applyFont="1" applyBorder="1" applyAlignment="1">
      <alignment horizontal="justify" vertical="center"/>
    </xf>
    <xf numFmtId="0" fontId="22" fillId="0" borderId="4" xfId="4" applyFont="1" applyBorder="1" applyAlignment="1">
      <alignment horizontal="justify" vertical="center"/>
    </xf>
    <xf numFmtId="0" fontId="22" fillId="0" borderId="0" xfId="4" applyFont="1" applyAlignment="1">
      <alignment horizontal="center" vertical="center" wrapText="1"/>
    </xf>
    <xf numFmtId="0" fontId="22" fillId="0" borderId="0" xfId="4" applyFont="1" applyAlignment="1">
      <alignment horizontal="center" vertical="center"/>
    </xf>
    <xf numFmtId="0" fontId="39" fillId="0" borderId="0" xfId="4" applyFont="1" applyAlignment="1">
      <alignment horizontal="center" vertical="center" wrapText="1"/>
    </xf>
    <xf numFmtId="0" fontId="39" fillId="0" borderId="0" xfId="4" applyFont="1" applyAlignment="1">
      <alignment horizontal="center" vertical="center"/>
    </xf>
    <xf numFmtId="0" fontId="22" fillId="0" borderId="8" xfId="4" applyFont="1" applyBorder="1" applyAlignment="1" applyProtection="1">
      <alignment horizontal="center" vertical="center" wrapText="1"/>
      <protection locked="0"/>
    </xf>
    <xf numFmtId="0" fontId="22" fillId="0" borderId="2" xfId="4" applyFont="1" applyBorder="1" applyAlignment="1" applyProtection="1">
      <alignment horizontal="center" vertical="center" wrapText="1"/>
      <protection locked="0"/>
    </xf>
    <xf numFmtId="0" fontId="22" fillId="0" borderId="3" xfId="4" applyFont="1" applyBorder="1" applyAlignment="1" applyProtection="1">
      <alignment horizontal="center" vertical="center" wrapText="1"/>
      <protection locked="0"/>
    </xf>
    <xf numFmtId="0" fontId="38" fillId="2" borderId="6" xfId="0" applyFont="1" applyFill="1" applyBorder="1" applyAlignment="1">
      <alignment horizontal="center" vertical="center" wrapText="1"/>
    </xf>
    <xf numFmtId="0" fontId="63" fillId="2" borderId="4" xfId="0" applyFont="1" applyFill="1" applyBorder="1" applyAlignment="1">
      <alignment horizontal="center" vertical="center" wrapText="1"/>
    </xf>
    <xf numFmtId="0" fontId="63" fillId="2" borderId="8" xfId="0" applyFont="1" applyFill="1" applyBorder="1" applyAlignment="1">
      <alignment horizontal="center" vertical="center" wrapText="1"/>
    </xf>
    <xf numFmtId="0" fontId="63" fillId="2" borderId="3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horizontal="right" vertical="center" wrapText="1"/>
    </xf>
    <xf numFmtId="0" fontId="38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63" fillId="2" borderId="5" xfId="0" applyFont="1" applyFill="1" applyBorder="1" applyAlignment="1">
      <alignment horizontal="center" vertical="center" wrapText="1"/>
    </xf>
    <xf numFmtId="0" fontId="63" fillId="2" borderId="7" xfId="0" applyFont="1" applyFill="1" applyBorder="1" applyAlignment="1">
      <alignment horizontal="center" vertical="center" wrapText="1"/>
    </xf>
    <xf numFmtId="0" fontId="63" fillId="2" borderId="9" xfId="0" applyFont="1" applyFill="1" applyBorder="1" applyAlignment="1">
      <alignment horizontal="center" vertical="center" wrapText="1"/>
    </xf>
    <xf numFmtId="0" fontId="27" fillId="0" borderId="0" xfId="7" applyFont="1" applyAlignment="1">
      <alignment horizontal="left" vertical="center"/>
    </xf>
    <xf numFmtId="0" fontId="18" fillId="0" borderId="4" xfId="7" applyFont="1" applyBorder="1" applyAlignment="1">
      <alignment horizontal="center" vertical="center"/>
    </xf>
    <xf numFmtId="0" fontId="18" fillId="0" borderId="4" xfId="7" applyFont="1" applyBorder="1" applyAlignment="1">
      <alignment horizontal="center" vertical="center" wrapText="1"/>
    </xf>
    <xf numFmtId="0" fontId="29" fillId="0" borderId="0" xfId="7" applyFont="1" applyAlignment="1">
      <alignment horizontal="right" vertical="center"/>
    </xf>
    <xf numFmtId="0" fontId="18" fillId="0" borderId="8" xfId="7" applyFont="1" applyBorder="1" applyAlignment="1">
      <alignment horizontal="center" vertical="center"/>
    </xf>
    <xf numFmtId="0" fontId="18" fillId="0" borderId="2" xfId="7" applyFont="1" applyBorder="1" applyAlignment="1">
      <alignment horizontal="center" vertical="center"/>
    </xf>
    <xf numFmtId="0" fontId="40" fillId="0" borderId="6" xfId="7" applyFont="1" applyBorder="1" applyAlignment="1">
      <alignment horizontal="right" vertical="center"/>
    </xf>
    <xf numFmtId="0" fontId="18" fillId="2" borderId="4" xfId="7" applyFont="1" applyFill="1" applyBorder="1" applyAlignment="1">
      <alignment horizontal="center" vertical="center" wrapText="1"/>
    </xf>
    <xf numFmtId="0" fontId="37" fillId="0" borderId="0" xfId="7" applyFont="1" applyAlignment="1">
      <alignment horizontal="right" vertical="center"/>
    </xf>
    <xf numFmtId="0" fontId="18" fillId="0" borderId="0" xfId="7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0" xfId="8" applyFont="1" applyAlignment="1">
      <alignment horizontal="center" vertical="center"/>
    </xf>
    <xf numFmtId="0" fontId="18" fillId="2" borderId="0" xfId="8" applyFont="1" applyFill="1" applyAlignment="1">
      <alignment horizontal="center" vertical="center" wrapText="1"/>
    </xf>
    <xf numFmtId="0" fontId="18" fillId="2" borderId="0" xfId="8" applyFont="1" applyFill="1" applyAlignment="1">
      <alignment horizontal="center" vertical="center"/>
    </xf>
    <xf numFmtId="0" fontId="18" fillId="2" borderId="5" xfId="7" applyFont="1" applyFill="1" applyBorder="1" applyAlignment="1">
      <alignment horizontal="center" vertical="center" wrapText="1"/>
    </xf>
    <xf numFmtId="0" fontId="18" fillId="2" borderId="9" xfId="7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38" fillId="2" borderId="0" xfId="8" applyFont="1" applyFill="1" applyAlignment="1">
      <alignment horizontal="right" vertical="center"/>
    </xf>
    <xf numFmtId="0" fontId="18" fillId="2" borderId="4" xfId="7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7" fillId="2" borderId="0" xfId="8" applyFont="1" applyFill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6" fillId="0" borderId="8" xfId="7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0" fontId="16" fillId="0" borderId="5" xfId="7" applyFont="1" applyBorder="1" applyAlignment="1">
      <alignment horizontal="center" vertical="center" wrapText="1"/>
    </xf>
    <xf numFmtId="0" fontId="16" fillId="0" borderId="9" xfId="7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8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40" fillId="0" borderId="6" xfId="0" applyFont="1" applyBorder="1" applyAlignment="1">
      <alignment horizontal="right" vertical="center"/>
    </xf>
    <xf numFmtId="0" fontId="41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3" fontId="58" fillId="2" borderId="8" xfId="10" applyNumberFormat="1" applyFont="1" applyFill="1" applyBorder="1" applyAlignment="1">
      <alignment horizontal="center" vertical="center"/>
    </xf>
    <xf numFmtId="3" fontId="58" fillId="2" borderId="2" xfId="10" applyNumberFormat="1" applyFont="1" applyFill="1" applyBorder="1" applyAlignment="1">
      <alignment horizontal="center" vertical="center"/>
    </xf>
    <xf numFmtId="0" fontId="58" fillId="2" borderId="4" xfId="10" applyFont="1" applyFill="1" applyBorder="1" applyAlignment="1">
      <alignment horizontal="center" vertical="center"/>
    </xf>
    <xf numFmtId="0" fontId="18" fillId="2" borderId="0" xfId="10" applyFont="1" applyFill="1" applyAlignment="1">
      <alignment horizontal="center" vertical="center" wrapText="1"/>
    </xf>
    <xf numFmtId="0" fontId="18" fillId="2" borderId="0" xfId="10" applyFont="1" applyFill="1" applyAlignment="1">
      <alignment horizontal="center" vertical="center"/>
    </xf>
    <xf numFmtId="0" fontId="58" fillId="2" borderId="4" xfId="10" applyFont="1" applyFill="1" applyBorder="1" applyAlignment="1">
      <alignment horizontal="center" vertical="center" wrapText="1"/>
    </xf>
    <xf numFmtId="0" fontId="38" fillId="2" borderId="6" xfId="1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22" fillId="2" borderId="0" xfId="9" applyFont="1" applyFill="1" applyAlignment="1">
      <alignment horizontal="center" vertical="justify" wrapText="1"/>
    </xf>
    <xf numFmtId="0" fontId="22" fillId="2" borderId="0" xfId="9" applyFont="1" applyFill="1" applyAlignment="1">
      <alignment horizontal="center" vertical="justify"/>
    </xf>
    <xf numFmtId="0" fontId="39" fillId="2" borderId="0" xfId="9" applyFont="1" applyFill="1" applyAlignment="1">
      <alignment horizontal="right" vertical="center"/>
    </xf>
    <xf numFmtId="0" fontId="16" fillId="2" borderId="4" xfId="9" applyFont="1" applyFill="1" applyBorder="1" applyAlignment="1">
      <alignment horizontal="center" vertical="center"/>
    </xf>
    <xf numFmtId="0" fontId="16" fillId="2" borderId="4" xfId="9" applyFont="1" applyFill="1" applyBorder="1" applyAlignment="1">
      <alignment horizontal="center" vertical="center" wrapText="1"/>
    </xf>
    <xf numFmtId="0" fontId="16" fillId="2" borderId="5" xfId="9" applyFont="1" applyFill="1" applyBorder="1" applyAlignment="1">
      <alignment horizontal="center" vertical="center" wrapText="1"/>
    </xf>
    <xf numFmtId="0" fontId="16" fillId="2" borderId="9" xfId="9" applyFont="1" applyFill="1" applyBorder="1" applyAlignment="1">
      <alignment horizontal="center" vertical="center" wrapText="1"/>
    </xf>
    <xf numFmtId="0" fontId="16" fillId="2" borderId="8" xfId="9" applyFont="1" applyFill="1" applyBorder="1" applyAlignment="1">
      <alignment horizontal="center" vertical="center"/>
    </xf>
    <xf numFmtId="0" fontId="16" fillId="2" borderId="2" xfId="9" applyFont="1" applyFill="1" applyBorder="1" applyAlignment="1">
      <alignment horizontal="center" vertical="center"/>
    </xf>
    <xf numFmtId="0" fontId="22" fillId="0" borderId="0" xfId="12" applyFont="1" applyAlignment="1">
      <alignment horizontal="center" vertical="center" wrapText="1"/>
    </xf>
    <xf numFmtId="0" fontId="22" fillId="0" borderId="0" xfId="12" applyFont="1" applyAlignment="1">
      <alignment horizontal="center" vertical="center"/>
    </xf>
    <xf numFmtId="0" fontId="22" fillId="0" borderId="6" xfId="12" applyFont="1" applyBorder="1" applyAlignment="1">
      <alignment horizontal="center"/>
    </xf>
    <xf numFmtId="0" fontId="22" fillId="0" borderId="0" xfId="12" applyFont="1" applyAlignment="1">
      <alignment horizontal="center"/>
    </xf>
    <xf numFmtId="0" fontId="16" fillId="0" borderId="5" xfId="12" applyFont="1" applyBorder="1" applyAlignment="1">
      <alignment horizontal="center" vertical="center" wrapText="1"/>
    </xf>
    <xf numFmtId="0" fontId="16" fillId="0" borderId="7" xfId="12" applyFont="1" applyBorder="1" applyAlignment="1">
      <alignment horizontal="center" vertical="center" wrapText="1"/>
    </xf>
    <xf numFmtId="0" fontId="16" fillId="0" borderId="9" xfId="12" applyFont="1" applyBorder="1" applyAlignment="1">
      <alignment horizontal="center" vertical="center" wrapText="1"/>
    </xf>
    <xf numFmtId="0" fontId="16" fillId="0" borderId="4" xfId="12" applyFont="1" applyBorder="1" applyAlignment="1">
      <alignment horizontal="center" vertical="center" wrapText="1"/>
    </xf>
    <xf numFmtId="0" fontId="16" fillId="0" borderId="4" xfId="12" applyFont="1" applyBorder="1" applyAlignment="1">
      <alignment horizontal="center" vertical="center"/>
    </xf>
    <xf numFmtId="0" fontId="16" fillId="2" borderId="10" xfId="12" applyFont="1" applyFill="1" applyBorder="1" applyAlignment="1">
      <alignment horizontal="center" vertical="center" wrapText="1"/>
    </xf>
    <xf numFmtId="0" fontId="16" fillId="2" borderId="11" xfId="12" applyFont="1" applyFill="1" applyBorder="1" applyAlignment="1">
      <alignment horizontal="center" vertical="center" wrapText="1"/>
    </xf>
    <xf numFmtId="0" fontId="16" fillId="2" borderId="12" xfId="12" applyFont="1" applyFill="1" applyBorder="1" applyAlignment="1">
      <alignment horizontal="center" vertical="center" wrapText="1"/>
    </xf>
    <xf numFmtId="0" fontId="16" fillId="2" borderId="4" xfId="12" applyFont="1" applyFill="1" applyBorder="1" applyAlignment="1">
      <alignment horizontal="center" vertical="center" wrapText="1"/>
    </xf>
    <xf numFmtId="0" fontId="21" fillId="0" borderId="6" xfId="12" applyFont="1" applyBorder="1" applyAlignment="1">
      <alignment horizontal="right" vertical="center"/>
    </xf>
    <xf numFmtId="0" fontId="16" fillId="0" borderId="8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46" fillId="0" borderId="5" xfId="10" applyFont="1" applyBorder="1" applyAlignment="1">
      <alignment horizontal="center" vertical="center"/>
    </xf>
    <xf numFmtId="0" fontId="46" fillId="0" borderId="7" xfId="10" applyFont="1" applyBorder="1" applyAlignment="1">
      <alignment horizontal="center" vertical="center"/>
    </xf>
    <xf numFmtId="0" fontId="46" fillId="0" borderId="9" xfId="10" applyFont="1" applyBorder="1" applyAlignment="1">
      <alignment horizontal="center" vertical="center"/>
    </xf>
    <xf numFmtId="0" fontId="46" fillId="0" borderId="5" xfId="10" applyFont="1" applyBorder="1" applyAlignment="1">
      <alignment horizontal="center" vertical="center" wrapText="1"/>
    </xf>
    <xf numFmtId="0" fontId="46" fillId="0" borderId="7" xfId="10" applyFont="1" applyBorder="1" applyAlignment="1">
      <alignment horizontal="center" vertical="center" wrapText="1"/>
    </xf>
    <xf numFmtId="0" fontId="46" fillId="0" borderId="9" xfId="10" applyFont="1" applyBorder="1" applyAlignment="1">
      <alignment horizontal="center" vertical="center" wrapText="1"/>
    </xf>
    <xf numFmtId="0" fontId="46" fillId="0" borderId="4" xfId="10" applyFont="1" applyBorder="1" applyAlignment="1">
      <alignment horizontal="center" vertical="center" wrapText="1"/>
    </xf>
    <xf numFmtId="0" fontId="46" fillId="0" borderId="4" xfId="10" applyFont="1" applyBorder="1" applyAlignment="1">
      <alignment horizontal="center" vertical="center"/>
    </xf>
    <xf numFmtId="3" fontId="18" fillId="2" borderId="4" xfId="4" applyNumberFormat="1" applyFont="1" applyFill="1" applyBorder="1" applyAlignment="1" applyProtection="1">
      <alignment horizontal="right" vertical="center" wrapText="1"/>
      <protection locked="0"/>
    </xf>
    <xf numFmtId="3" fontId="18" fillId="2" borderId="4" xfId="14" applyNumberFormat="1" applyFont="1" applyFill="1" applyBorder="1" applyAlignment="1">
      <alignment horizontal="right" vertical="center"/>
    </xf>
    <xf numFmtId="3" fontId="66" fillId="0" borderId="4" xfId="7" applyNumberFormat="1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39" fillId="0" borderId="0" xfId="4" applyFont="1" applyAlignment="1">
      <alignment vertical="center" wrapText="1"/>
    </xf>
    <xf numFmtId="0" fontId="38" fillId="2" borderId="0" xfId="0" applyFont="1" applyFill="1" applyAlignment="1">
      <alignment vertical="center" wrapText="1"/>
    </xf>
  </cellXfs>
  <cellStyles count="21">
    <cellStyle name="Comma" xfId="17" builtinId="3"/>
    <cellStyle name="Comma 17" xfId="1" xr:uid="{00000000-0005-0000-0000-000001000000}"/>
    <cellStyle name="Comma 2" xfId="16" xr:uid="{00000000-0005-0000-0000-000002000000}"/>
    <cellStyle name="Comma 3" xfId="2" xr:uid="{00000000-0005-0000-0000-000003000000}"/>
    <cellStyle name="Comma 3 2" xfId="3" xr:uid="{00000000-0005-0000-0000-000004000000}"/>
    <cellStyle name="Comma 4" xfId="15" xr:uid="{00000000-0005-0000-0000-000005000000}"/>
    <cellStyle name="Normal" xfId="0" builtinId="0"/>
    <cellStyle name="Normal 13" xfId="19" xr:uid="{00000000-0005-0000-0000-000007000000}"/>
    <cellStyle name="Normal 2" xfId="4" xr:uid="{00000000-0005-0000-0000-000008000000}"/>
    <cellStyle name="Normal 2 2" xfId="13" xr:uid="{00000000-0005-0000-0000-000009000000}"/>
    <cellStyle name="Normal 2 2 2" xfId="12" xr:uid="{00000000-0005-0000-0000-00000A000000}"/>
    <cellStyle name="Normal 3" xfId="5" xr:uid="{00000000-0005-0000-0000-00000B000000}"/>
    <cellStyle name="Normal 5" xfId="18" xr:uid="{00000000-0005-0000-0000-00000C000000}"/>
    <cellStyle name="Normal 9" xfId="14" xr:uid="{00000000-0005-0000-0000-00000D000000}"/>
    <cellStyle name="Normal_Bieu mau (CV )" xfId="20" xr:uid="{00000000-0005-0000-0000-00000E000000}"/>
    <cellStyle name="Normal_Chi NSTW NSDP 2002 - PL" xfId="6" xr:uid="{00000000-0005-0000-0000-00000F000000}"/>
    <cellStyle name="Normal_pl6Bieu so 02" xfId="7" xr:uid="{00000000-0005-0000-0000-000010000000}"/>
    <cellStyle name="Normal_pl6Bieu so 03" xfId="8" xr:uid="{00000000-0005-0000-0000-000011000000}"/>
    <cellStyle name="Normal_pl6Bieu so 25" xfId="9" xr:uid="{00000000-0005-0000-0000-000012000000}"/>
    <cellStyle name="Normal_pl6Bieu so 31" xfId="10" xr:uid="{00000000-0005-0000-0000-000013000000}"/>
    <cellStyle name="Normal_Sheet1" xfId="11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266700</xdr:colOff>
      <xdr:row>36</xdr:row>
      <xdr:rowOff>200025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133850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%20TOAN%2014%20PHU%20LUC%202020%20(21.1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NHNHIEN\BC%20H&#272;%20ND%206%20THANG%20CUOI%20NAM%202024\PL-%20NQ%20DU%20TOAN%202025%20(13.12.2024).xlsx" TargetMode="External"/><Relationship Id="rId1" Type="http://schemas.openxmlformats.org/officeDocument/2006/relationships/externalLinkPath" Target="PL-%20NQ%20DU%20TOAN%202025%20(13.12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 BCDT 2018"/>
      <sheetName val="15-CK"/>
      <sheetName val="30-CK"/>
      <sheetName val="16-CK"/>
      <sheetName val="17-CK"/>
      <sheetName val="33"/>
      <sheetName val="34"/>
      <sheetName val="37"/>
      <sheetName val="39-CK"/>
      <sheetName val="42"/>
      <sheetName val="32"/>
    </sheetNames>
    <sheetDataSet>
      <sheetData sheetId="0"/>
      <sheetData sheetId="1">
        <row r="13">
          <cell r="C13">
            <v>492374</v>
          </cell>
        </row>
      </sheetData>
      <sheetData sheetId="2"/>
      <sheetData sheetId="3">
        <row r="11">
          <cell r="D11">
            <v>51690</v>
          </cell>
        </row>
      </sheetData>
      <sheetData sheetId="4"/>
      <sheetData sheetId="5">
        <row r="22">
          <cell r="D22">
            <v>291959</v>
          </cell>
        </row>
      </sheetData>
      <sheetData sheetId="6">
        <row r="38">
          <cell r="D38">
            <v>31759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4"/>
      <sheetName val="15-CK"/>
      <sheetName val="37"/>
      <sheetName val="30-CK"/>
      <sheetName val="16-CK"/>
      <sheetName val="17-CK"/>
      <sheetName val="33"/>
      <sheetName val="39-CK"/>
      <sheetName val="42"/>
      <sheetName val="32"/>
    </sheetNames>
    <sheetDataSet>
      <sheetData sheetId="0"/>
      <sheetData sheetId="1">
        <row r="23">
          <cell r="E23">
            <v>51407</v>
          </cell>
        </row>
      </sheetData>
      <sheetData sheetId="2">
        <row r="12">
          <cell r="D12">
            <v>479751</v>
          </cell>
          <cell r="E12">
            <v>8124</v>
          </cell>
          <cell r="F12">
            <v>2227</v>
          </cell>
          <cell r="G12">
            <v>4683</v>
          </cell>
          <cell r="I12">
            <v>20246</v>
          </cell>
          <cell r="J12">
            <v>44359</v>
          </cell>
          <cell r="N12">
            <v>50560</v>
          </cell>
          <cell r="P12">
            <v>53423</v>
          </cell>
          <cell r="Q12">
            <v>1860</v>
          </cell>
        </row>
        <row r="55">
          <cell r="O55">
            <v>2239</v>
          </cell>
        </row>
        <row r="56">
          <cell r="O56">
            <v>350</v>
          </cell>
        </row>
        <row r="57">
          <cell r="O57">
            <v>30</v>
          </cell>
        </row>
        <row r="58">
          <cell r="O58">
            <v>30</v>
          </cell>
        </row>
        <row r="59">
          <cell r="O59">
            <v>30</v>
          </cell>
        </row>
        <row r="60">
          <cell r="O60">
            <v>446</v>
          </cell>
        </row>
      </sheetData>
      <sheetData sheetId="3">
        <row r="26">
          <cell r="E26">
            <v>10201</v>
          </cell>
        </row>
      </sheetData>
      <sheetData sheetId="4">
        <row r="10">
          <cell r="D10">
            <v>69599</v>
          </cell>
          <cell r="F10">
            <v>62400</v>
          </cell>
        </row>
        <row r="20">
          <cell r="D20">
            <v>17181</v>
          </cell>
          <cell r="F20">
            <v>15600</v>
          </cell>
        </row>
      </sheetData>
      <sheetData sheetId="5">
        <row r="25">
          <cell r="D25">
            <v>16506</v>
          </cell>
        </row>
        <row r="26">
          <cell r="D26">
            <v>13140</v>
          </cell>
        </row>
        <row r="29">
          <cell r="D29">
            <v>26860</v>
          </cell>
        </row>
      </sheetData>
      <sheetData sheetId="6"/>
      <sheetData sheetId="7">
        <row r="8">
          <cell r="G8">
            <v>82218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E46"/>
  <sheetViews>
    <sheetView showZeros="0" workbookViewId="0">
      <selection activeCell="B1" sqref="A1:D44"/>
    </sheetView>
  </sheetViews>
  <sheetFormatPr defaultColWidth="9.140625" defaultRowHeight="18.75"/>
  <cols>
    <col min="1" max="1" width="7.5703125" style="237" customWidth="1"/>
    <col min="2" max="2" width="64.28515625" style="210" customWidth="1"/>
    <col min="3" max="3" width="10.7109375" style="210" hidden="1" customWidth="1"/>
    <col min="4" max="4" width="20" style="209" customWidth="1"/>
    <col min="5" max="5" width="13" style="210" customWidth="1"/>
    <col min="6" max="6" width="10.7109375" style="210" customWidth="1"/>
    <col min="7" max="16384" width="9.140625" style="210"/>
  </cols>
  <sheetData>
    <row r="1" spans="1:135" ht="18.75" customHeight="1">
      <c r="A1" s="207"/>
      <c r="B1" s="207"/>
      <c r="C1" s="208"/>
      <c r="D1" s="209" t="s">
        <v>178</v>
      </c>
    </row>
    <row r="2" spans="1:135" ht="42" customHeight="1">
      <c r="A2" s="314" t="s">
        <v>286</v>
      </c>
      <c r="B2" s="315"/>
      <c r="C2" s="315"/>
      <c r="D2" s="315"/>
    </row>
    <row r="3" spans="1:135" ht="33.950000000000003" hidden="1" customHeight="1">
      <c r="A3" s="316" t="s">
        <v>48</v>
      </c>
      <c r="B3" s="317"/>
      <c r="C3" s="317"/>
      <c r="D3" s="317"/>
    </row>
    <row r="4" spans="1:135" s="53" customFormat="1" ht="42" customHeight="1">
      <c r="A4" s="316" t="s">
        <v>297</v>
      </c>
      <c r="B4" s="316"/>
      <c r="C4" s="316"/>
      <c r="D4" s="316"/>
      <c r="E4" s="175"/>
      <c r="F4" s="176"/>
      <c r="G4" s="176"/>
      <c r="H4" s="176"/>
      <c r="I4" s="176"/>
      <c r="J4" s="176"/>
    </row>
    <row r="5" spans="1:135" ht="25.5" customHeight="1">
      <c r="A5" s="211"/>
      <c r="B5" s="211"/>
      <c r="C5" s="211"/>
      <c r="D5" s="206" t="s">
        <v>223</v>
      </c>
    </row>
    <row r="6" spans="1:135" ht="25.5" customHeight="1">
      <c r="A6" s="212" t="s">
        <v>20</v>
      </c>
      <c r="B6" s="318" t="s">
        <v>5</v>
      </c>
      <c r="C6" s="319"/>
      <c r="D6" s="213" t="s">
        <v>240</v>
      </c>
      <c r="E6" s="214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</row>
    <row r="7" spans="1:135" ht="23.25" customHeight="1">
      <c r="A7" s="318" t="s">
        <v>84</v>
      </c>
      <c r="B7" s="320"/>
      <c r="C7" s="319"/>
      <c r="D7" s="217">
        <f>D8+D11+D42</f>
        <v>868690</v>
      </c>
      <c r="E7" s="257"/>
      <c r="F7" s="214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</row>
    <row r="8" spans="1:135" ht="24.95" customHeight="1">
      <c r="A8" s="216" t="s">
        <v>9</v>
      </c>
      <c r="B8" s="311" t="s">
        <v>189</v>
      </c>
      <c r="C8" s="311"/>
      <c r="D8" s="218">
        <f>D9+D10</f>
        <v>92419</v>
      </c>
      <c r="E8" s="219">
        <f>D9+D10+E10</f>
        <v>92419</v>
      </c>
      <c r="F8" s="219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  <c r="CG8" s="220"/>
      <c r="CH8" s="220"/>
      <c r="CI8" s="220"/>
      <c r="CJ8" s="220"/>
      <c r="CK8" s="220"/>
      <c r="CL8" s="220"/>
      <c r="CM8" s="220"/>
      <c r="CN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</row>
    <row r="9" spans="1:135" ht="24.95" customHeight="1">
      <c r="A9" s="216">
        <v>1</v>
      </c>
      <c r="B9" s="221" t="s">
        <v>85</v>
      </c>
      <c r="C9" s="221"/>
      <c r="D9" s="222">
        <f>'[2]39-CK'!G8</f>
        <v>82218</v>
      </c>
      <c r="E9" s="219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  <c r="CG9" s="220"/>
      <c r="CH9" s="220"/>
      <c r="CI9" s="220"/>
      <c r="CJ9" s="220"/>
      <c r="CK9" s="220"/>
      <c r="CL9" s="220"/>
      <c r="CM9" s="220"/>
      <c r="CN9" s="220"/>
      <c r="CO9" s="220"/>
      <c r="CP9" s="220"/>
      <c r="CQ9" s="220"/>
      <c r="CR9" s="220"/>
      <c r="CS9" s="220"/>
      <c r="CT9" s="220"/>
      <c r="CU9" s="220"/>
      <c r="CV9" s="220"/>
      <c r="CW9" s="220"/>
      <c r="CX9" s="220"/>
      <c r="CY9" s="220"/>
      <c r="CZ9" s="220"/>
      <c r="DA9" s="220"/>
      <c r="DB9" s="220"/>
      <c r="DC9" s="220"/>
      <c r="DD9" s="220"/>
      <c r="DE9" s="220"/>
      <c r="DF9" s="220"/>
      <c r="DG9" s="220"/>
      <c r="DH9" s="220"/>
      <c r="DI9" s="220"/>
      <c r="DJ9" s="220"/>
      <c r="DK9" s="220"/>
      <c r="DL9" s="220"/>
      <c r="DM9" s="220"/>
      <c r="DN9" s="220"/>
      <c r="DO9" s="220"/>
      <c r="DP9" s="220"/>
      <c r="DQ9" s="220"/>
      <c r="DR9" s="220"/>
      <c r="DS9" s="220"/>
      <c r="DT9" s="220"/>
      <c r="DU9" s="220"/>
      <c r="DV9" s="220"/>
      <c r="DW9" s="220"/>
      <c r="DX9" s="220"/>
      <c r="DY9" s="220"/>
      <c r="DZ9" s="220"/>
      <c r="EA9" s="220"/>
      <c r="EB9" s="220"/>
      <c r="EC9" s="220"/>
      <c r="ED9" s="220"/>
      <c r="EE9" s="220"/>
    </row>
    <row r="10" spans="1:135" ht="21.75" customHeight="1">
      <c r="A10" s="216">
        <v>2</v>
      </c>
      <c r="B10" s="221" t="s">
        <v>190</v>
      </c>
      <c r="C10" s="221"/>
      <c r="D10" s="222">
        <f>'[2]30-CK'!E26</f>
        <v>10201</v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  <c r="CG10" s="220"/>
      <c r="CH10" s="220"/>
      <c r="CI10" s="220"/>
      <c r="CJ10" s="220"/>
      <c r="CK10" s="220"/>
      <c r="CL10" s="220"/>
      <c r="CM10" s="220"/>
      <c r="CN10" s="220"/>
      <c r="CO10" s="220"/>
      <c r="CP10" s="220"/>
      <c r="CQ10" s="220"/>
      <c r="CR10" s="220"/>
      <c r="CS10" s="220"/>
      <c r="CT10" s="220"/>
      <c r="CU10" s="220"/>
      <c r="CV10" s="220"/>
      <c r="CW10" s="220"/>
      <c r="CX10" s="220"/>
      <c r="CY10" s="220"/>
      <c r="CZ10" s="220"/>
      <c r="DA10" s="220"/>
      <c r="DB10" s="220"/>
      <c r="DC10" s="220"/>
      <c r="DD10" s="220"/>
      <c r="DE10" s="220"/>
      <c r="DF10" s="220"/>
      <c r="DG10" s="220"/>
      <c r="DH10" s="220"/>
      <c r="DI10" s="220"/>
      <c r="DJ10" s="220"/>
      <c r="DK10" s="220"/>
      <c r="DL10" s="220"/>
      <c r="DM10" s="220"/>
      <c r="DN10" s="220"/>
      <c r="DO10" s="220"/>
      <c r="DP10" s="220"/>
      <c r="DQ10" s="220"/>
      <c r="DR10" s="220"/>
      <c r="DS10" s="220"/>
      <c r="DT10" s="220"/>
      <c r="DU10" s="220"/>
      <c r="DV10" s="220"/>
      <c r="DW10" s="220"/>
      <c r="DX10" s="220"/>
      <c r="DY10" s="220"/>
      <c r="DZ10" s="220"/>
      <c r="EA10" s="220"/>
      <c r="EB10" s="220"/>
      <c r="EC10" s="220"/>
      <c r="ED10" s="220"/>
      <c r="EE10" s="220"/>
    </row>
    <row r="11" spans="1:135" ht="21.75" customHeight="1">
      <c r="A11" s="216" t="s">
        <v>10</v>
      </c>
      <c r="B11" s="221" t="s">
        <v>86</v>
      </c>
      <c r="C11" s="221"/>
      <c r="D11" s="218">
        <f>D13+D27+D40+D41</f>
        <v>749411</v>
      </c>
      <c r="E11" s="219"/>
      <c r="F11" s="219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</row>
    <row r="12" spans="1:135" ht="23.25" customHeight="1">
      <c r="A12" s="216"/>
      <c r="B12" s="223" t="s">
        <v>42</v>
      </c>
      <c r="C12" s="221"/>
      <c r="D12" s="222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  <c r="CG12" s="220"/>
      <c r="CH12" s="220"/>
      <c r="CI12" s="220"/>
      <c r="CJ12" s="220"/>
      <c r="CK12" s="220"/>
      <c r="CL12" s="220"/>
      <c r="CM12" s="220"/>
      <c r="CN12" s="220"/>
      <c r="CO12" s="220"/>
      <c r="CP12" s="220"/>
      <c r="CQ12" s="220"/>
      <c r="CR12" s="220"/>
      <c r="CS12" s="220"/>
      <c r="CT12" s="220"/>
      <c r="CU12" s="220"/>
      <c r="CV12" s="220"/>
      <c r="CW12" s="220"/>
      <c r="CX12" s="220"/>
      <c r="CY12" s="220"/>
      <c r="CZ12" s="220"/>
      <c r="DA12" s="220"/>
      <c r="DB12" s="220"/>
      <c r="DC12" s="220"/>
      <c r="DD12" s="220"/>
      <c r="DE12" s="220"/>
      <c r="DF12" s="220"/>
      <c r="DG12" s="220"/>
      <c r="DH12" s="220"/>
      <c r="DI12" s="220"/>
      <c r="DJ12" s="220"/>
      <c r="DK12" s="220"/>
      <c r="DL12" s="220"/>
      <c r="DM12" s="220"/>
      <c r="DN12" s="220"/>
      <c r="DO12" s="220"/>
      <c r="DP12" s="220"/>
      <c r="DQ12" s="220"/>
      <c r="DR12" s="220"/>
      <c r="DS12" s="220"/>
      <c r="DT12" s="220"/>
      <c r="DU12" s="220"/>
      <c r="DV12" s="220"/>
      <c r="DW12" s="220"/>
      <c r="DX12" s="220"/>
      <c r="DY12" s="220"/>
      <c r="DZ12" s="220"/>
      <c r="EA12" s="220"/>
      <c r="EB12" s="220"/>
      <c r="EC12" s="220"/>
      <c r="ED12" s="220"/>
      <c r="EE12" s="220"/>
    </row>
    <row r="13" spans="1:135" ht="24.95" customHeight="1">
      <c r="A13" s="216" t="s">
        <v>11</v>
      </c>
      <c r="B13" s="221" t="s">
        <v>28</v>
      </c>
      <c r="C13" s="224"/>
      <c r="D13" s="414">
        <f>SUM(D14:D25)</f>
        <v>51407</v>
      </c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  <c r="CG13" s="220"/>
      <c r="CH13" s="220"/>
      <c r="CI13" s="220"/>
      <c r="CJ13" s="220"/>
      <c r="CK13" s="220"/>
      <c r="CL13" s="220"/>
      <c r="CM13" s="220"/>
      <c r="CN13" s="220"/>
      <c r="CO13" s="220"/>
      <c r="CP13" s="220"/>
      <c r="CQ13" s="220"/>
      <c r="CR13" s="220"/>
      <c r="CS13" s="220"/>
      <c r="CT13" s="220"/>
      <c r="CU13" s="220"/>
      <c r="CV13" s="220"/>
      <c r="CW13" s="220"/>
      <c r="CX13" s="220"/>
      <c r="CY13" s="220"/>
      <c r="CZ13" s="220"/>
      <c r="DA13" s="220"/>
      <c r="DB13" s="220"/>
      <c r="DC13" s="220"/>
      <c r="DD13" s="220"/>
      <c r="DE13" s="220"/>
      <c r="DF13" s="220"/>
      <c r="DG13" s="220"/>
      <c r="DH13" s="220"/>
      <c r="DI13" s="220"/>
      <c r="DJ13" s="220"/>
      <c r="DK13" s="220"/>
      <c r="DL13" s="220"/>
      <c r="DM13" s="220"/>
      <c r="DN13" s="220"/>
      <c r="DO13" s="220"/>
      <c r="DP13" s="220"/>
      <c r="DQ13" s="220"/>
      <c r="DR13" s="220"/>
      <c r="DS13" s="220"/>
      <c r="DT13" s="220"/>
      <c r="DU13" s="220"/>
      <c r="DV13" s="220"/>
      <c r="DW13" s="220"/>
      <c r="DX13" s="220"/>
      <c r="DY13" s="220"/>
      <c r="DZ13" s="220"/>
      <c r="EA13" s="220"/>
      <c r="EB13" s="220"/>
      <c r="EC13" s="220"/>
      <c r="ED13" s="220"/>
      <c r="EE13" s="220"/>
    </row>
    <row r="14" spans="1:135" ht="22.5" customHeight="1">
      <c r="A14" s="225"/>
      <c r="B14" s="312" t="s">
        <v>111</v>
      </c>
      <c r="C14" s="312"/>
      <c r="D14" s="222">
        <f>'[2]15-CK'!E23</f>
        <v>51407</v>
      </c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  <c r="CG14" s="220"/>
      <c r="CH14" s="220"/>
      <c r="CI14" s="220"/>
      <c r="CJ14" s="220"/>
      <c r="CK14" s="220"/>
      <c r="CL14" s="220"/>
      <c r="CM14" s="220"/>
      <c r="CN14" s="220"/>
      <c r="CO14" s="220"/>
      <c r="CP14" s="220"/>
      <c r="CQ14" s="220"/>
      <c r="CR14" s="220"/>
      <c r="CS14" s="220"/>
      <c r="CT14" s="220"/>
      <c r="CU14" s="220"/>
      <c r="CV14" s="220"/>
      <c r="CW14" s="220"/>
      <c r="CX14" s="220"/>
      <c r="CY14" s="220"/>
      <c r="CZ14" s="220"/>
      <c r="DA14" s="220"/>
      <c r="DB14" s="220"/>
      <c r="DC14" s="220"/>
      <c r="DD14" s="220"/>
      <c r="DE14" s="220"/>
      <c r="DF14" s="220"/>
      <c r="DG14" s="220"/>
      <c r="DH14" s="220"/>
      <c r="DI14" s="220"/>
      <c r="DJ14" s="220"/>
      <c r="DK14" s="220"/>
      <c r="DL14" s="220"/>
      <c r="DM14" s="220"/>
      <c r="DN14" s="220"/>
      <c r="DO14" s="220"/>
      <c r="DP14" s="220"/>
      <c r="DQ14" s="220"/>
      <c r="DR14" s="220"/>
      <c r="DS14" s="220"/>
      <c r="DT14" s="220"/>
      <c r="DU14" s="220"/>
      <c r="DV14" s="220"/>
      <c r="DW14" s="220"/>
      <c r="DX14" s="220"/>
      <c r="DY14" s="220"/>
      <c r="DZ14" s="220"/>
      <c r="EA14" s="220"/>
      <c r="EB14" s="220"/>
      <c r="EC14" s="220"/>
      <c r="ED14" s="220"/>
      <c r="EE14" s="220"/>
    </row>
    <row r="15" spans="1:135" ht="21.95" hidden="1" customHeight="1">
      <c r="A15" s="225"/>
      <c r="B15" s="223" t="s">
        <v>42</v>
      </c>
      <c r="C15" s="226"/>
      <c r="D15" s="222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  <c r="DF15" s="220"/>
      <c r="DG15" s="220"/>
      <c r="DH15" s="220"/>
      <c r="DI15" s="220"/>
      <c r="DJ15" s="220"/>
      <c r="DK15" s="220"/>
      <c r="DL15" s="220"/>
      <c r="DM15" s="220"/>
      <c r="DN15" s="220"/>
      <c r="DO15" s="220"/>
      <c r="DP15" s="220"/>
      <c r="DQ15" s="220"/>
      <c r="DR15" s="220"/>
      <c r="DS15" s="220"/>
      <c r="DT15" s="220"/>
      <c r="DU15" s="220"/>
      <c r="DV15" s="220"/>
      <c r="DW15" s="220"/>
      <c r="DX15" s="220"/>
      <c r="DY15" s="220"/>
      <c r="DZ15" s="220"/>
      <c r="EA15" s="220"/>
      <c r="EB15" s="220"/>
      <c r="EC15" s="220"/>
      <c r="ED15" s="220"/>
      <c r="EE15" s="220"/>
    </row>
    <row r="16" spans="1:135" ht="21.95" hidden="1" customHeight="1">
      <c r="A16" s="227">
        <v>1</v>
      </c>
      <c r="B16" s="224" t="s">
        <v>43</v>
      </c>
      <c r="C16" s="224"/>
      <c r="D16" s="222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  <c r="DF16" s="220"/>
      <c r="DG16" s="220"/>
      <c r="DH16" s="220"/>
      <c r="DI16" s="220"/>
      <c r="DJ16" s="220"/>
      <c r="DK16" s="220"/>
      <c r="DL16" s="220"/>
      <c r="DM16" s="220"/>
      <c r="DN16" s="220"/>
      <c r="DO16" s="220"/>
      <c r="DP16" s="220"/>
      <c r="DQ16" s="220"/>
      <c r="DR16" s="220"/>
      <c r="DS16" s="220"/>
      <c r="DT16" s="220"/>
      <c r="DU16" s="220"/>
      <c r="DV16" s="220"/>
      <c r="DW16" s="220"/>
      <c r="DX16" s="220"/>
      <c r="DY16" s="220"/>
      <c r="DZ16" s="220"/>
      <c r="EA16" s="220"/>
      <c r="EB16" s="220"/>
      <c r="EC16" s="220"/>
      <c r="ED16" s="220"/>
      <c r="EE16" s="220"/>
    </row>
    <row r="17" spans="1:135" ht="21.95" hidden="1" customHeight="1">
      <c r="A17" s="227">
        <f>A16+1</f>
        <v>2</v>
      </c>
      <c r="B17" s="224" t="s">
        <v>44</v>
      </c>
      <c r="C17" s="224"/>
      <c r="D17" s="222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  <c r="DF17" s="220"/>
      <c r="DG17" s="220"/>
      <c r="DH17" s="220"/>
      <c r="DI17" s="220"/>
      <c r="DJ17" s="220"/>
      <c r="DK17" s="220"/>
      <c r="DL17" s="220"/>
      <c r="DM17" s="220"/>
      <c r="DN17" s="220"/>
      <c r="DO17" s="220"/>
      <c r="DP17" s="220"/>
      <c r="DQ17" s="220"/>
      <c r="DR17" s="220"/>
      <c r="DS17" s="220"/>
      <c r="DT17" s="220"/>
      <c r="DU17" s="220"/>
      <c r="DV17" s="220"/>
      <c r="DW17" s="220"/>
      <c r="DX17" s="220"/>
      <c r="DY17" s="220"/>
      <c r="DZ17" s="220"/>
      <c r="EA17" s="220"/>
      <c r="EB17" s="220"/>
      <c r="EC17" s="220"/>
      <c r="ED17" s="220"/>
      <c r="EE17" s="220"/>
    </row>
    <row r="18" spans="1:135" ht="21.95" hidden="1" customHeight="1">
      <c r="A18" s="227">
        <f t="shared" ref="A18:A25" si="0">A17+1</f>
        <v>3</v>
      </c>
      <c r="B18" s="224" t="s">
        <v>49</v>
      </c>
      <c r="C18" s="224"/>
      <c r="D18" s="222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  <c r="DF18" s="220"/>
      <c r="DG18" s="220"/>
      <c r="DH18" s="220"/>
      <c r="DI18" s="220"/>
      <c r="DJ18" s="220"/>
      <c r="DK18" s="220"/>
      <c r="DL18" s="220"/>
      <c r="DM18" s="220"/>
      <c r="DN18" s="220"/>
      <c r="DO18" s="220"/>
      <c r="DP18" s="220"/>
      <c r="DQ18" s="220"/>
      <c r="DR18" s="220"/>
      <c r="DS18" s="220"/>
      <c r="DT18" s="220"/>
      <c r="DU18" s="220"/>
      <c r="DV18" s="220"/>
      <c r="DW18" s="220"/>
      <c r="DX18" s="220"/>
      <c r="DY18" s="220"/>
      <c r="DZ18" s="220"/>
      <c r="EA18" s="220"/>
      <c r="EB18" s="220"/>
      <c r="EC18" s="220"/>
      <c r="ED18" s="220"/>
      <c r="EE18" s="220"/>
    </row>
    <row r="19" spans="1:135" ht="21.95" hidden="1" customHeight="1">
      <c r="A19" s="227">
        <f t="shared" si="0"/>
        <v>4</v>
      </c>
      <c r="B19" s="224" t="s">
        <v>50</v>
      </c>
      <c r="C19" s="224"/>
      <c r="D19" s="222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  <c r="CG19" s="220"/>
      <c r="CH19" s="220"/>
      <c r="CI19" s="220"/>
      <c r="CJ19" s="220"/>
      <c r="CK19" s="220"/>
      <c r="CL19" s="220"/>
      <c r="CM19" s="220"/>
      <c r="CN19" s="220"/>
      <c r="CO19" s="220"/>
      <c r="CP19" s="220"/>
      <c r="CQ19" s="220"/>
      <c r="CR19" s="220"/>
      <c r="CS19" s="220"/>
      <c r="CT19" s="220"/>
      <c r="CU19" s="220"/>
      <c r="CV19" s="220"/>
      <c r="CW19" s="220"/>
      <c r="CX19" s="220"/>
      <c r="CY19" s="220"/>
      <c r="CZ19" s="220"/>
      <c r="DA19" s="220"/>
      <c r="DB19" s="220"/>
      <c r="DC19" s="220"/>
      <c r="DD19" s="220"/>
      <c r="DE19" s="220"/>
      <c r="DF19" s="220"/>
      <c r="DG19" s="220"/>
      <c r="DH19" s="220"/>
      <c r="DI19" s="220"/>
      <c r="DJ19" s="220"/>
      <c r="DK19" s="220"/>
      <c r="DL19" s="220"/>
      <c r="DM19" s="220"/>
      <c r="DN19" s="220"/>
      <c r="DO19" s="220"/>
      <c r="DP19" s="220"/>
      <c r="DQ19" s="220"/>
      <c r="DR19" s="220"/>
      <c r="DS19" s="220"/>
      <c r="DT19" s="220"/>
      <c r="DU19" s="220"/>
      <c r="DV19" s="220"/>
      <c r="DW19" s="220"/>
      <c r="DX19" s="220"/>
      <c r="DY19" s="220"/>
      <c r="DZ19" s="220"/>
      <c r="EA19" s="220"/>
      <c r="EB19" s="220"/>
      <c r="EC19" s="220"/>
      <c r="ED19" s="220"/>
      <c r="EE19" s="220"/>
    </row>
    <row r="20" spans="1:135" ht="21.95" hidden="1" customHeight="1">
      <c r="A20" s="227">
        <f t="shared" si="0"/>
        <v>5</v>
      </c>
      <c r="B20" s="224" t="s">
        <v>51</v>
      </c>
      <c r="C20" s="224"/>
      <c r="D20" s="222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0"/>
      <c r="CI20" s="220"/>
      <c r="CJ20" s="220"/>
      <c r="CK20" s="220"/>
      <c r="CL20" s="220"/>
      <c r="CM20" s="220"/>
      <c r="CN20" s="220"/>
      <c r="CO20" s="220"/>
      <c r="CP20" s="220"/>
      <c r="CQ20" s="220"/>
      <c r="CR20" s="220"/>
      <c r="CS20" s="220"/>
      <c r="CT20" s="220"/>
      <c r="CU20" s="220"/>
      <c r="CV20" s="220"/>
      <c r="CW20" s="220"/>
      <c r="CX20" s="220"/>
      <c r="CY20" s="220"/>
      <c r="CZ20" s="220"/>
      <c r="DA20" s="220"/>
      <c r="DB20" s="220"/>
      <c r="DC20" s="220"/>
      <c r="DD20" s="220"/>
      <c r="DE20" s="220"/>
      <c r="DF20" s="220"/>
      <c r="DG20" s="220"/>
      <c r="DH20" s="220"/>
      <c r="DI20" s="220"/>
      <c r="DJ20" s="220"/>
      <c r="DK20" s="220"/>
      <c r="DL20" s="220"/>
      <c r="DM20" s="220"/>
      <c r="DN20" s="220"/>
      <c r="DO20" s="220"/>
      <c r="DP20" s="220"/>
      <c r="DQ20" s="220"/>
      <c r="DR20" s="220"/>
      <c r="DS20" s="220"/>
      <c r="DT20" s="220"/>
      <c r="DU20" s="220"/>
      <c r="DV20" s="220"/>
      <c r="DW20" s="220"/>
      <c r="DX20" s="220"/>
      <c r="DY20" s="220"/>
      <c r="DZ20" s="220"/>
      <c r="EA20" s="220"/>
      <c r="EB20" s="220"/>
      <c r="EC20" s="220"/>
      <c r="ED20" s="220"/>
      <c r="EE20" s="220"/>
    </row>
    <row r="21" spans="1:135" ht="21.95" hidden="1" customHeight="1">
      <c r="A21" s="227">
        <f t="shared" si="0"/>
        <v>6</v>
      </c>
      <c r="B21" s="224" t="s">
        <v>52</v>
      </c>
      <c r="C21" s="224"/>
      <c r="D21" s="222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  <c r="CG21" s="220"/>
      <c r="CH21" s="220"/>
      <c r="CI21" s="220"/>
      <c r="CJ21" s="220"/>
      <c r="CK21" s="220"/>
      <c r="CL21" s="220"/>
      <c r="CM21" s="220"/>
      <c r="CN21" s="220"/>
      <c r="CO21" s="220"/>
      <c r="CP21" s="220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220"/>
      <c r="DG21" s="220"/>
      <c r="DH21" s="220"/>
      <c r="DI21" s="220"/>
      <c r="DJ21" s="220"/>
      <c r="DK21" s="220"/>
      <c r="DL21" s="220"/>
      <c r="DM21" s="220"/>
      <c r="DN21" s="220"/>
      <c r="DO21" s="220"/>
      <c r="DP21" s="220"/>
      <c r="DQ21" s="220"/>
      <c r="DR21" s="220"/>
      <c r="DS21" s="220"/>
      <c r="DT21" s="220"/>
      <c r="DU21" s="220"/>
      <c r="DV21" s="220"/>
      <c r="DW21" s="220"/>
      <c r="DX21" s="220"/>
      <c r="DY21" s="220"/>
      <c r="DZ21" s="220"/>
      <c r="EA21" s="220"/>
      <c r="EB21" s="220"/>
      <c r="EC21" s="220"/>
      <c r="ED21" s="220"/>
      <c r="EE21" s="220"/>
    </row>
    <row r="22" spans="1:135" ht="21.95" hidden="1" customHeight="1">
      <c r="A22" s="227">
        <f t="shared" si="0"/>
        <v>7</v>
      </c>
      <c r="B22" s="224" t="s">
        <v>53</v>
      </c>
      <c r="C22" s="224"/>
      <c r="D22" s="222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  <c r="CG22" s="220"/>
      <c r="CH22" s="220"/>
      <c r="CI22" s="220"/>
      <c r="CJ22" s="220"/>
      <c r="CK22" s="220"/>
      <c r="CL22" s="220"/>
      <c r="CM22" s="220"/>
      <c r="CN22" s="220"/>
      <c r="CO22" s="220"/>
      <c r="CP22" s="220"/>
      <c r="CQ22" s="220"/>
      <c r="CR22" s="220"/>
      <c r="CS22" s="220"/>
      <c r="CT22" s="220"/>
      <c r="CU22" s="220"/>
      <c r="CV22" s="220"/>
      <c r="CW22" s="220"/>
      <c r="CX22" s="220"/>
      <c r="CY22" s="220"/>
      <c r="CZ22" s="220"/>
      <c r="DA22" s="220"/>
      <c r="DB22" s="220"/>
      <c r="DC22" s="220"/>
      <c r="DD22" s="220"/>
      <c r="DE22" s="220"/>
      <c r="DF22" s="220"/>
      <c r="DG22" s="220"/>
      <c r="DH22" s="220"/>
      <c r="DI22" s="220"/>
      <c r="DJ22" s="220"/>
      <c r="DK22" s="220"/>
      <c r="DL22" s="220"/>
      <c r="DM22" s="220"/>
      <c r="DN22" s="220"/>
      <c r="DO22" s="220"/>
      <c r="DP22" s="220"/>
      <c r="DQ22" s="220"/>
      <c r="DR22" s="220"/>
      <c r="DS22" s="220"/>
      <c r="DT22" s="220"/>
      <c r="DU22" s="220"/>
      <c r="DV22" s="220"/>
      <c r="DW22" s="220"/>
      <c r="DX22" s="220"/>
      <c r="DY22" s="220"/>
      <c r="DZ22" s="220"/>
      <c r="EA22" s="220"/>
      <c r="EB22" s="220"/>
      <c r="EC22" s="220"/>
      <c r="ED22" s="220"/>
      <c r="EE22" s="220"/>
    </row>
    <row r="23" spans="1:135" ht="21.95" hidden="1" customHeight="1">
      <c r="A23" s="227">
        <f t="shared" si="0"/>
        <v>8</v>
      </c>
      <c r="B23" s="224" t="s">
        <v>54</v>
      </c>
      <c r="C23" s="224"/>
      <c r="D23" s="222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  <c r="CG23" s="220"/>
      <c r="CH23" s="220"/>
      <c r="CI23" s="220"/>
      <c r="CJ23" s="220"/>
      <c r="CK23" s="220"/>
      <c r="CL23" s="220"/>
      <c r="CM23" s="220"/>
      <c r="CN23" s="220"/>
      <c r="CO23" s="220"/>
      <c r="CP23" s="220"/>
      <c r="CQ23" s="220"/>
      <c r="CR23" s="220"/>
      <c r="CS23" s="220"/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0"/>
      <c r="DG23" s="220"/>
      <c r="DH23" s="220"/>
      <c r="DI23" s="220"/>
      <c r="DJ23" s="220"/>
      <c r="DK23" s="220"/>
      <c r="DL23" s="220"/>
      <c r="DM23" s="220"/>
      <c r="DN23" s="220"/>
      <c r="DO23" s="220"/>
      <c r="DP23" s="220"/>
      <c r="DQ23" s="220"/>
      <c r="DR23" s="220"/>
      <c r="DS23" s="220"/>
      <c r="DT23" s="220"/>
      <c r="DU23" s="220"/>
      <c r="DV23" s="220"/>
      <c r="DW23" s="220"/>
      <c r="DX23" s="220"/>
      <c r="DY23" s="220"/>
      <c r="DZ23" s="220"/>
      <c r="EA23" s="220"/>
      <c r="EB23" s="220"/>
      <c r="EC23" s="220"/>
      <c r="ED23" s="220"/>
      <c r="EE23" s="220"/>
    </row>
    <row r="24" spans="1:135" ht="21.95" hidden="1" customHeight="1">
      <c r="A24" s="227">
        <f t="shared" si="0"/>
        <v>9</v>
      </c>
      <c r="B24" s="224" t="s">
        <v>55</v>
      </c>
      <c r="C24" s="224"/>
      <c r="D24" s="222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220"/>
      <c r="DG24" s="220"/>
      <c r="DH24" s="220"/>
      <c r="DI24" s="220"/>
      <c r="DJ24" s="220"/>
      <c r="DK24" s="220"/>
      <c r="DL24" s="220"/>
      <c r="DM24" s="220"/>
      <c r="DN24" s="220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0"/>
      <c r="DZ24" s="220"/>
      <c r="EA24" s="220"/>
      <c r="EB24" s="220"/>
      <c r="EC24" s="220"/>
      <c r="ED24" s="220"/>
      <c r="EE24" s="220"/>
    </row>
    <row r="25" spans="1:135" ht="21.95" hidden="1" customHeight="1">
      <c r="A25" s="227">
        <f t="shared" si="0"/>
        <v>10</v>
      </c>
      <c r="B25" s="224" t="s">
        <v>0</v>
      </c>
      <c r="C25" s="224"/>
      <c r="D25" s="222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  <c r="CG25" s="220"/>
      <c r="CH25" s="220"/>
      <c r="CI25" s="220"/>
      <c r="CJ25" s="220"/>
      <c r="CK25" s="220"/>
      <c r="CL25" s="220"/>
      <c r="CM25" s="220"/>
      <c r="CN25" s="220"/>
      <c r="CO25" s="220"/>
      <c r="CP25" s="220"/>
      <c r="CQ25" s="220"/>
      <c r="CR25" s="220"/>
      <c r="CS25" s="220"/>
      <c r="CT25" s="220"/>
      <c r="CU25" s="220"/>
      <c r="CV25" s="220"/>
      <c r="CW25" s="220"/>
      <c r="CX25" s="220"/>
      <c r="CY25" s="220"/>
      <c r="CZ25" s="220"/>
      <c r="DA25" s="220"/>
      <c r="DB25" s="220"/>
      <c r="DC25" s="220"/>
      <c r="DD25" s="220"/>
      <c r="DE25" s="220"/>
      <c r="DF25" s="220"/>
      <c r="DG25" s="220"/>
      <c r="DH25" s="220"/>
      <c r="DI25" s="220"/>
      <c r="DJ25" s="220"/>
      <c r="DK25" s="220"/>
      <c r="DL25" s="220"/>
      <c r="DM25" s="220"/>
      <c r="DN25" s="220"/>
      <c r="DO25" s="220"/>
      <c r="DP25" s="220"/>
      <c r="DQ25" s="220"/>
      <c r="DR25" s="220"/>
      <c r="DS25" s="220"/>
      <c r="DT25" s="220"/>
      <c r="DU25" s="220"/>
      <c r="DV25" s="220"/>
      <c r="DW25" s="220"/>
      <c r="DX25" s="220"/>
      <c r="DY25" s="220"/>
      <c r="DZ25" s="220"/>
      <c r="EA25" s="220"/>
      <c r="EB25" s="220"/>
      <c r="EC25" s="220"/>
      <c r="ED25" s="220"/>
      <c r="EE25" s="220"/>
    </row>
    <row r="26" spans="1:135" ht="21.95" hidden="1" customHeight="1">
      <c r="A26" s="227">
        <v>2</v>
      </c>
      <c r="B26" s="224" t="s">
        <v>47</v>
      </c>
      <c r="C26" s="224"/>
      <c r="D26" s="222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  <c r="CG26" s="220"/>
      <c r="CH26" s="220"/>
      <c r="CI26" s="220"/>
      <c r="CJ26" s="220"/>
      <c r="CK26" s="220"/>
      <c r="CL26" s="220"/>
      <c r="CM26" s="220"/>
      <c r="CN26" s="220"/>
      <c r="CO26" s="220"/>
      <c r="CP26" s="220"/>
      <c r="CQ26" s="220"/>
      <c r="CR26" s="220"/>
      <c r="CS26" s="220"/>
      <c r="CT26" s="220"/>
      <c r="CU26" s="220"/>
      <c r="CV26" s="220"/>
      <c r="CW26" s="220"/>
      <c r="CX26" s="220"/>
      <c r="CY26" s="220"/>
      <c r="CZ26" s="220"/>
      <c r="DA26" s="220"/>
      <c r="DB26" s="220"/>
      <c r="DC26" s="220"/>
      <c r="DD26" s="220"/>
      <c r="DE26" s="220"/>
      <c r="DF26" s="220"/>
      <c r="DG26" s="220"/>
      <c r="DH26" s="220"/>
      <c r="DI26" s="220"/>
      <c r="DJ26" s="220"/>
      <c r="DK26" s="220"/>
      <c r="DL26" s="220"/>
      <c r="DM26" s="220"/>
      <c r="DN26" s="220"/>
      <c r="DO26" s="220"/>
      <c r="DP26" s="220"/>
      <c r="DQ26" s="220"/>
      <c r="DR26" s="220"/>
      <c r="DS26" s="220"/>
      <c r="DT26" s="220"/>
      <c r="DU26" s="220"/>
      <c r="DV26" s="220"/>
      <c r="DW26" s="220"/>
      <c r="DX26" s="220"/>
      <c r="DY26" s="220"/>
      <c r="DZ26" s="220"/>
      <c r="EA26" s="220"/>
      <c r="EB26" s="220"/>
      <c r="EC26" s="220"/>
      <c r="ED26" s="220"/>
      <c r="EE26" s="220"/>
    </row>
    <row r="27" spans="1:135" ht="24.95" customHeight="1">
      <c r="A27" s="228" t="s">
        <v>16</v>
      </c>
      <c r="B27" s="313" t="s">
        <v>3</v>
      </c>
      <c r="C27" s="313"/>
      <c r="D27" s="414">
        <f>SUM(D29:D39)</f>
        <v>668358</v>
      </c>
      <c r="E27" s="265"/>
      <c r="F27" s="263"/>
      <c r="G27" s="231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  <c r="CG27" s="220"/>
      <c r="CH27" s="220"/>
      <c r="CI27" s="220"/>
      <c r="CJ27" s="220"/>
      <c r="CK27" s="220"/>
      <c r="CL27" s="220"/>
      <c r="CM27" s="220"/>
      <c r="CN27" s="220"/>
      <c r="CO27" s="220"/>
      <c r="CP27" s="220"/>
      <c r="CQ27" s="220"/>
      <c r="CR27" s="220"/>
      <c r="CS27" s="220"/>
      <c r="CT27" s="220"/>
      <c r="CU27" s="220"/>
      <c r="CV27" s="220"/>
      <c r="CW27" s="220"/>
      <c r="CX27" s="220"/>
      <c r="CY27" s="220"/>
      <c r="CZ27" s="220"/>
      <c r="DA27" s="220"/>
      <c r="DB27" s="220"/>
      <c r="DC27" s="220"/>
      <c r="DD27" s="220"/>
      <c r="DE27" s="220"/>
      <c r="DF27" s="220"/>
      <c r="DG27" s="220"/>
      <c r="DH27" s="220"/>
      <c r="DI27" s="220"/>
      <c r="DJ27" s="220"/>
      <c r="DK27" s="220"/>
      <c r="DL27" s="220"/>
      <c r="DM27" s="220"/>
      <c r="DN27" s="220"/>
      <c r="DO27" s="220"/>
      <c r="DP27" s="220"/>
      <c r="DQ27" s="220"/>
      <c r="DR27" s="220"/>
      <c r="DS27" s="220"/>
      <c r="DT27" s="220"/>
      <c r="DU27" s="220"/>
      <c r="DV27" s="220"/>
      <c r="DW27" s="220"/>
      <c r="DX27" s="220"/>
      <c r="DY27" s="220"/>
      <c r="DZ27" s="220"/>
      <c r="EA27" s="220"/>
      <c r="EB27" s="220"/>
      <c r="EC27" s="220"/>
      <c r="ED27" s="220"/>
      <c r="EE27" s="220"/>
    </row>
    <row r="28" spans="1:135" ht="22.5" customHeight="1">
      <c r="A28" s="227"/>
      <c r="B28" s="223" t="s">
        <v>42</v>
      </c>
      <c r="C28" s="224"/>
      <c r="D28" s="222"/>
      <c r="E28" s="231"/>
      <c r="F28" s="263"/>
      <c r="G28" s="231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  <c r="CG28" s="220"/>
      <c r="CH28" s="220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</row>
    <row r="29" spans="1:135" ht="22.5" customHeight="1">
      <c r="A29" s="227">
        <v>1</v>
      </c>
      <c r="B29" s="224" t="s">
        <v>152</v>
      </c>
      <c r="C29" s="224"/>
      <c r="D29" s="222">
        <f>'[2]37'!D12</f>
        <v>479751</v>
      </c>
      <c r="E29" s="263"/>
      <c r="F29" s="264"/>
      <c r="G29" s="231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  <c r="CG29" s="220"/>
      <c r="CH29" s="220"/>
      <c r="CI29" s="220"/>
      <c r="CJ29" s="220"/>
      <c r="CK29" s="220"/>
      <c r="CL29" s="220"/>
      <c r="CM29" s="220"/>
      <c r="CN29" s="220"/>
      <c r="CO29" s="220"/>
      <c r="CP29" s="220"/>
      <c r="CQ29" s="220"/>
      <c r="CR29" s="220"/>
      <c r="CS29" s="220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220"/>
      <c r="DQ29" s="220"/>
      <c r="DR29" s="220"/>
      <c r="DS29" s="220"/>
      <c r="DT29" s="220"/>
      <c r="DU29" s="220"/>
      <c r="DV29" s="220"/>
      <c r="DW29" s="220"/>
      <c r="DX29" s="220"/>
      <c r="DY29" s="220"/>
      <c r="DZ29" s="220"/>
      <c r="EA29" s="220"/>
      <c r="EB29" s="220"/>
      <c r="EC29" s="220"/>
      <c r="ED29" s="220"/>
      <c r="EE29" s="220"/>
    </row>
    <row r="30" spans="1:135" ht="24.95" customHeight="1">
      <c r="A30" s="227">
        <v>2</v>
      </c>
      <c r="B30" s="224" t="s">
        <v>153</v>
      </c>
      <c r="C30" s="224"/>
      <c r="D30" s="222">
        <f>'[2]37'!E12</f>
        <v>8124</v>
      </c>
      <c r="E30" s="231"/>
      <c r="F30" s="264"/>
      <c r="G30" s="231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  <c r="CG30" s="220"/>
      <c r="CH30" s="220"/>
      <c r="CI30" s="220"/>
      <c r="CJ30" s="220"/>
      <c r="CK30" s="220"/>
      <c r="CL30" s="220"/>
      <c r="CM30" s="220"/>
      <c r="CN30" s="220"/>
      <c r="CO30" s="220"/>
      <c r="CP30" s="220"/>
      <c r="CQ30" s="220"/>
      <c r="CR30" s="220"/>
      <c r="CS30" s="220"/>
      <c r="CT30" s="220"/>
      <c r="CU30" s="220"/>
      <c r="CV30" s="220"/>
      <c r="CW30" s="220"/>
      <c r="CX30" s="220"/>
      <c r="CY30" s="220"/>
      <c r="CZ30" s="220"/>
      <c r="DA30" s="220"/>
      <c r="DB30" s="220"/>
      <c r="DC30" s="220"/>
      <c r="DD30" s="220"/>
      <c r="DE30" s="220"/>
      <c r="DF30" s="220"/>
      <c r="DG30" s="220"/>
      <c r="DH30" s="220"/>
      <c r="DI30" s="220"/>
      <c r="DJ30" s="220"/>
      <c r="DK30" s="220"/>
      <c r="DL30" s="220"/>
      <c r="DM30" s="220"/>
      <c r="DN30" s="220"/>
      <c r="DO30" s="220"/>
      <c r="DP30" s="220"/>
      <c r="DQ30" s="220"/>
      <c r="DR30" s="220"/>
      <c r="DS30" s="220"/>
      <c r="DT30" s="220"/>
      <c r="DU30" s="220"/>
      <c r="DV30" s="220"/>
      <c r="DW30" s="220"/>
      <c r="DX30" s="220"/>
      <c r="DY30" s="220"/>
      <c r="DZ30" s="220"/>
      <c r="EA30" s="220"/>
      <c r="EB30" s="220"/>
      <c r="EC30" s="220"/>
      <c r="ED30" s="220"/>
      <c r="EE30" s="220"/>
    </row>
    <row r="31" spans="1:135" ht="22.5" customHeight="1">
      <c r="A31" s="227">
        <v>3</v>
      </c>
      <c r="B31" s="224" t="s">
        <v>110</v>
      </c>
      <c r="C31" s="224"/>
      <c r="D31" s="222">
        <f>'[2]37'!F12</f>
        <v>2227</v>
      </c>
      <c r="E31" s="231"/>
      <c r="F31" s="264"/>
      <c r="G31" s="231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  <c r="CG31" s="220"/>
      <c r="CH31" s="220"/>
      <c r="CI31" s="220"/>
      <c r="CJ31" s="220"/>
      <c r="CK31" s="220"/>
      <c r="CL31" s="220"/>
      <c r="CM31" s="220"/>
      <c r="CN31" s="220"/>
      <c r="CO31" s="220"/>
      <c r="CP31" s="220"/>
      <c r="CQ31" s="220"/>
      <c r="CR31" s="220"/>
      <c r="CS31" s="220"/>
      <c r="CT31" s="220"/>
      <c r="CU31" s="220"/>
      <c r="CV31" s="220"/>
      <c r="CW31" s="220"/>
      <c r="CX31" s="220"/>
      <c r="CY31" s="220"/>
      <c r="CZ31" s="220"/>
      <c r="DA31" s="220"/>
      <c r="DB31" s="220"/>
      <c r="DC31" s="220"/>
      <c r="DD31" s="220"/>
      <c r="DE31" s="220"/>
      <c r="DF31" s="220"/>
      <c r="DG31" s="220"/>
      <c r="DH31" s="220"/>
      <c r="DI31" s="220"/>
      <c r="DJ31" s="220"/>
      <c r="DK31" s="220"/>
      <c r="DL31" s="220"/>
      <c r="DM31" s="220"/>
      <c r="DN31" s="220"/>
      <c r="DO31" s="220"/>
      <c r="DP31" s="220"/>
      <c r="DQ31" s="220"/>
      <c r="DR31" s="220"/>
      <c r="DS31" s="220"/>
      <c r="DT31" s="220"/>
      <c r="DU31" s="220"/>
      <c r="DV31" s="220"/>
      <c r="DW31" s="220"/>
      <c r="DX31" s="220"/>
      <c r="DY31" s="220"/>
      <c r="DZ31" s="220"/>
      <c r="EA31" s="220"/>
      <c r="EB31" s="220"/>
      <c r="EC31" s="220"/>
      <c r="ED31" s="220"/>
      <c r="EE31" s="220"/>
    </row>
    <row r="32" spans="1:135" ht="26.25" customHeight="1">
      <c r="A32" s="227">
        <v>4</v>
      </c>
      <c r="B32" s="224" t="s">
        <v>239</v>
      </c>
      <c r="C32" s="224"/>
      <c r="D32" s="222">
        <f>'[2]37'!G12</f>
        <v>4683</v>
      </c>
      <c r="E32" s="231"/>
      <c r="F32" s="264"/>
      <c r="G32" s="231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  <c r="CG32" s="220"/>
      <c r="CH32" s="220"/>
      <c r="CI32" s="220"/>
      <c r="CJ32" s="220"/>
      <c r="CK32" s="220"/>
      <c r="CL32" s="220"/>
      <c r="CM32" s="220"/>
      <c r="CN32" s="220"/>
      <c r="CO32" s="220"/>
      <c r="CP32" s="220"/>
      <c r="CQ32" s="220"/>
      <c r="CR32" s="220"/>
      <c r="CS32" s="220"/>
      <c r="CT32" s="220"/>
      <c r="CU32" s="220"/>
      <c r="CV32" s="220"/>
      <c r="CW32" s="220"/>
      <c r="CX32" s="220"/>
      <c r="CY32" s="220"/>
      <c r="CZ32" s="220"/>
      <c r="DA32" s="220"/>
      <c r="DB32" s="220"/>
      <c r="DC32" s="220"/>
      <c r="DD32" s="220"/>
      <c r="DE32" s="220"/>
      <c r="DF32" s="220"/>
      <c r="DG32" s="220"/>
      <c r="DH32" s="220"/>
      <c r="DI32" s="220"/>
      <c r="DJ32" s="220"/>
      <c r="DK32" s="220"/>
      <c r="DL32" s="220"/>
      <c r="DM32" s="220"/>
      <c r="DN32" s="220"/>
      <c r="DO32" s="220"/>
      <c r="DP32" s="220"/>
      <c r="DQ32" s="220"/>
      <c r="DR32" s="220"/>
      <c r="DS32" s="220"/>
      <c r="DT32" s="220"/>
      <c r="DU32" s="220"/>
      <c r="DV32" s="220"/>
      <c r="DW32" s="220"/>
      <c r="DX32" s="220"/>
      <c r="DY32" s="220"/>
      <c r="DZ32" s="220"/>
      <c r="EA32" s="220"/>
      <c r="EB32" s="220"/>
      <c r="EC32" s="220"/>
      <c r="ED32" s="220"/>
      <c r="EE32" s="220"/>
    </row>
    <row r="33" spans="1:135" ht="24.95" customHeight="1">
      <c r="A33" s="227">
        <v>6</v>
      </c>
      <c r="B33" s="224" t="s">
        <v>53</v>
      </c>
      <c r="C33" s="224"/>
      <c r="D33" s="222">
        <f>'[2]37'!I12</f>
        <v>20246</v>
      </c>
      <c r="E33" s="231"/>
      <c r="F33" s="264"/>
      <c r="G33" s="231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0"/>
      <c r="CU33" s="220"/>
      <c r="CV33" s="220"/>
      <c r="CW33" s="220"/>
      <c r="CX33" s="220"/>
      <c r="CY33" s="220"/>
      <c r="CZ33" s="220"/>
      <c r="DA33" s="220"/>
      <c r="DB33" s="220"/>
      <c r="DC33" s="220"/>
      <c r="DD33" s="220"/>
      <c r="DE33" s="220"/>
      <c r="DF33" s="220"/>
      <c r="DG33" s="220"/>
      <c r="DH33" s="220"/>
      <c r="DI33" s="220"/>
      <c r="DJ33" s="220"/>
      <c r="DK33" s="220"/>
      <c r="DL33" s="220"/>
      <c r="DM33" s="220"/>
      <c r="DN33" s="220"/>
      <c r="DO33" s="220"/>
      <c r="DP33" s="220"/>
      <c r="DQ33" s="220"/>
      <c r="DR33" s="220"/>
      <c r="DS33" s="220"/>
      <c r="DT33" s="220"/>
      <c r="DU33" s="220"/>
      <c r="DV33" s="220"/>
      <c r="DW33" s="220"/>
      <c r="DX33" s="220"/>
      <c r="DY33" s="220"/>
      <c r="DZ33" s="220"/>
      <c r="EA33" s="220"/>
      <c r="EB33" s="220"/>
      <c r="EC33" s="220"/>
      <c r="ED33" s="220"/>
      <c r="EE33" s="220"/>
    </row>
    <row r="34" spans="1:135" s="232" customFormat="1" ht="24.95" customHeight="1">
      <c r="A34" s="229">
        <v>7</v>
      </c>
      <c r="B34" s="230" t="s">
        <v>54</v>
      </c>
      <c r="C34" s="230"/>
      <c r="D34" s="222">
        <f>'[2]37'!J12</f>
        <v>44359</v>
      </c>
      <c r="E34" s="231"/>
      <c r="F34" s="264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1"/>
      <c r="DS34" s="231"/>
      <c r="DT34" s="231"/>
      <c r="DU34" s="231"/>
      <c r="DV34" s="231"/>
      <c r="DW34" s="231"/>
      <c r="DX34" s="231"/>
      <c r="DY34" s="231"/>
      <c r="DZ34" s="231"/>
      <c r="EA34" s="231"/>
      <c r="EB34" s="231"/>
      <c r="EC34" s="231"/>
      <c r="ED34" s="231"/>
      <c r="EE34" s="231"/>
    </row>
    <row r="35" spans="1:135" ht="45.75" customHeight="1">
      <c r="A35" s="227">
        <v>8</v>
      </c>
      <c r="B35" s="224" t="s">
        <v>291</v>
      </c>
      <c r="C35" s="224"/>
      <c r="D35" s="222">
        <f>'[2]37'!N12</f>
        <v>50560</v>
      </c>
      <c r="E35" s="231"/>
      <c r="F35" s="264"/>
      <c r="G35" s="231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0"/>
      <c r="CT35" s="220"/>
      <c r="CU35" s="220"/>
      <c r="CV35" s="220"/>
      <c r="CW35" s="220"/>
      <c r="CX35" s="220"/>
      <c r="CY35" s="220"/>
      <c r="CZ35" s="220"/>
      <c r="DA35" s="220"/>
      <c r="DB35" s="220"/>
      <c r="DC35" s="220"/>
      <c r="DD35" s="220"/>
      <c r="DE35" s="220"/>
      <c r="DF35" s="220"/>
      <c r="DG35" s="220"/>
      <c r="DH35" s="220"/>
      <c r="DI35" s="220"/>
      <c r="DJ35" s="220"/>
      <c r="DK35" s="220"/>
      <c r="DL35" s="220"/>
      <c r="DM35" s="220"/>
      <c r="DN35" s="220"/>
      <c r="DO35" s="220"/>
      <c r="DP35" s="220"/>
      <c r="DQ35" s="220"/>
      <c r="DR35" s="220"/>
      <c r="DS35" s="220"/>
      <c r="DT35" s="220"/>
      <c r="DU35" s="220"/>
      <c r="DV35" s="220"/>
      <c r="DW35" s="220"/>
      <c r="DX35" s="220"/>
      <c r="DY35" s="220"/>
      <c r="DZ35" s="220"/>
      <c r="EA35" s="220"/>
      <c r="EB35" s="220"/>
      <c r="EC35" s="220"/>
      <c r="ED35" s="220"/>
      <c r="EE35" s="220"/>
    </row>
    <row r="36" spans="1:135" ht="24.95" customHeight="1">
      <c r="A36" s="227">
        <v>9</v>
      </c>
      <c r="B36" s="224" t="s">
        <v>0</v>
      </c>
      <c r="C36" s="224"/>
      <c r="D36" s="222">
        <f>'[2]37'!P12</f>
        <v>53423</v>
      </c>
      <c r="E36" s="263"/>
      <c r="F36" s="264"/>
      <c r="G36" s="231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0"/>
      <c r="CT36" s="220"/>
      <c r="CU36" s="220"/>
      <c r="CV36" s="220"/>
      <c r="CW36" s="220"/>
      <c r="CX36" s="220"/>
      <c r="CY36" s="220"/>
      <c r="CZ36" s="220"/>
      <c r="DA36" s="220"/>
      <c r="DB36" s="220"/>
      <c r="DC36" s="220"/>
      <c r="DD36" s="220"/>
      <c r="DE36" s="220"/>
      <c r="DF36" s="220"/>
      <c r="DG36" s="220"/>
      <c r="DH36" s="220"/>
      <c r="DI36" s="220"/>
      <c r="DJ36" s="220"/>
      <c r="DK36" s="220"/>
      <c r="DL36" s="220"/>
      <c r="DM36" s="220"/>
      <c r="DN36" s="220"/>
      <c r="DO36" s="220"/>
      <c r="DP36" s="220"/>
      <c r="DQ36" s="220"/>
      <c r="DR36" s="220"/>
      <c r="DS36" s="220"/>
      <c r="DT36" s="220"/>
      <c r="DU36" s="220"/>
      <c r="DV36" s="220"/>
      <c r="DW36" s="220"/>
      <c r="DX36" s="220"/>
      <c r="DY36" s="220"/>
      <c r="DZ36" s="220"/>
      <c r="EA36" s="220"/>
      <c r="EB36" s="220"/>
      <c r="EC36" s="220"/>
      <c r="ED36" s="220"/>
      <c r="EE36" s="220"/>
    </row>
    <row r="37" spans="1:135" ht="24.95" customHeight="1">
      <c r="A37" s="227">
        <v>10</v>
      </c>
      <c r="B37" s="224" t="s">
        <v>101</v>
      </c>
      <c r="C37" s="224"/>
      <c r="D37" s="222">
        <f>'[2]37'!O55+'[2]37'!O56+'[2]37'!O57+'[2]37'!O58+'[2]37'!O59</f>
        <v>2679</v>
      </c>
      <c r="E37" s="263"/>
      <c r="F37" s="264"/>
      <c r="G37" s="231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/>
      <c r="CE37" s="220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  <c r="CS37" s="220"/>
      <c r="CT37" s="220"/>
      <c r="CU37" s="220"/>
      <c r="CV37" s="220"/>
      <c r="CW37" s="220"/>
      <c r="CX37" s="220"/>
      <c r="CY37" s="220"/>
      <c r="CZ37" s="220"/>
      <c r="DA37" s="220"/>
      <c r="DB37" s="220"/>
      <c r="DC37" s="220"/>
      <c r="DD37" s="220"/>
      <c r="DE37" s="220"/>
      <c r="DF37" s="220"/>
      <c r="DG37" s="220"/>
      <c r="DH37" s="220"/>
      <c r="DI37" s="220"/>
      <c r="DJ37" s="220"/>
      <c r="DK37" s="220"/>
      <c r="DL37" s="220"/>
      <c r="DM37" s="220"/>
      <c r="DN37" s="220"/>
      <c r="DO37" s="220"/>
      <c r="DP37" s="220"/>
      <c r="DQ37" s="220"/>
      <c r="DR37" s="220"/>
      <c r="DS37" s="220"/>
      <c r="DT37" s="220"/>
      <c r="DU37" s="220"/>
      <c r="DV37" s="220"/>
      <c r="DW37" s="220"/>
      <c r="DX37" s="220"/>
      <c r="DY37" s="220"/>
      <c r="DZ37" s="220"/>
      <c r="EA37" s="220"/>
      <c r="EB37" s="220"/>
      <c r="EC37" s="220"/>
      <c r="ED37" s="220"/>
      <c r="EE37" s="220"/>
    </row>
    <row r="38" spans="1:135" ht="24.95" customHeight="1">
      <c r="A38" s="227">
        <v>11</v>
      </c>
      <c r="B38" s="224" t="s">
        <v>102</v>
      </c>
      <c r="C38" s="224"/>
      <c r="D38" s="222">
        <f>'[2]37'!O60</f>
        <v>446</v>
      </c>
      <c r="E38" s="231"/>
      <c r="F38" s="264"/>
      <c r="G38" s="231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0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  <c r="CS38" s="220"/>
      <c r="CT38" s="220"/>
      <c r="CU38" s="220"/>
      <c r="CV38" s="220"/>
      <c r="CW38" s="220"/>
      <c r="CX38" s="220"/>
      <c r="CY38" s="220"/>
      <c r="CZ38" s="220"/>
      <c r="DA38" s="220"/>
      <c r="DB38" s="220"/>
      <c r="DC38" s="220"/>
      <c r="DD38" s="220"/>
      <c r="DE38" s="220"/>
      <c r="DF38" s="220"/>
      <c r="DG38" s="220"/>
      <c r="DH38" s="220"/>
      <c r="DI38" s="220"/>
      <c r="DJ38" s="220"/>
      <c r="DK38" s="220"/>
      <c r="DL38" s="220"/>
      <c r="DM38" s="220"/>
      <c r="DN38" s="220"/>
      <c r="DO38" s="220"/>
      <c r="DP38" s="220"/>
      <c r="DQ38" s="220"/>
      <c r="DR38" s="220"/>
      <c r="DS38" s="220"/>
      <c r="DT38" s="220"/>
      <c r="DU38" s="220"/>
      <c r="DV38" s="220"/>
      <c r="DW38" s="220"/>
      <c r="DX38" s="220"/>
      <c r="DY38" s="220"/>
      <c r="DZ38" s="220"/>
      <c r="EA38" s="220"/>
      <c r="EB38" s="220"/>
      <c r="EC38" s="220"/>
      <c r="ED38" s="220"/>
      <c r="EE38" s="220"/>
    </row>
    <row r="39" spans="1:135" ht="24.95" customHeight="1">
      <c r="A39" s="227">
        <v>12</v>
      </c>
      <c r="B39" s="224" t="s">
        <v>180</v>
      </c>
      <c r="C39" s="224"/>
      <c r="D39" s="222">
        <f>'[2]37'!Q12</f>
        <v>1860</v>
      </c>
      <c r="E39" s="231"/>
      <c r="F39" s="264"/>
      <c r="G39" s="231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0"/>
      <c r="DN39" s="220"/>
      <c r="DO39" s="220"/>
      <c r="DP39" s="220"/>
      <c r="DQ39" s="220"/>
      <c r="DR39" s="220"/>
      <c r="DS39" s="220"/>
      <c r="DT39" s="220"/>
      <c r="DU39" s="220"/>
      <c r="DV39" s="220"/>
      <c r="DW39" s="220"/>
      <c r="DX39" s="220"/>
      <c r="DY39" s="220"/>
      <c r="DZ39" s="220"/>
      <c r="EA39" s="220"/>
      <c r="EB39" s="220"/>
      <c r="EC39" s="220"/>
      <c r="ED39" s="220"/>
      <c r="EE39" s="220"/>
    </row>
    <row r="40" spans="1:135" ht="23.25" customHeight="1">
      <c r="A40" s="228" t="s">
        <v>18</v>
      </c>
      <c r="B40" s="313" t="s">
        <v>6</v>
      </c>
      <c r="C40" s="313"/>
      <c r="D40" s="414">
        <f>'[2]17-CK'!D25</f>
        <v>16506</v>
      </c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0"/>
      <c r="DN40" s="220"/>
      <c r="DO40" s="220"/>
      <c r="DP40" s="220"/>
      <c r="DQ40" s="220"/>
      <c r="DR40" s="220"/>
      <c r="DS40" s="220"/>
      <c r="DT40" s="220"/>
      <c r="DU40" s="220"/>
      <c r="DV40" s="220"/>
      <c r="DW40" s="220"/>
      <c r="DX40" s="220"/>
      <c r="DY40" s="220"/>
      <c r="DZ40" s="220"/>
      <c r="EA40" s="220"/>
      <c r="EB40" s="220"/>
      <c r="EC40" s="220"/>
      <c r="ED40" s="220"/>
      <c r="EE40" s="220"/>
    </row>
    <row r="41" spans="1:135" ht="22.5" customHeight="1">
      <c r="A41" s="228" t="s">
        <v>19</v>
      </c>
      <c r="B41" s="233" t="s">
        <v>192</v>
      </c>
      <c r="C41" s="233"/>
      <c r="D41" s="414">
        <f>'[2]17-CK'!D26</f>
        <v>13140</v>
      </c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  <c r="DH41" s="220"/>
      <c r="DI41" s="220"/>
      <c r="DJ41" s="220"/>
      <c r="DK41" s="220"/>
      <c r="DL41" s="220"/>
      <c r="DM41" s="220"/>
      <c r="DN41" s="220"/>
      <c r="DO41" s="220"/>
      <c r="DP41" s="220"/>
      <c r="DQ41" s="220"/>
      <c r="DR41" s="220"/>
      <c r="DS41" s="220"/>
      <c r="DT41" s="220"/>
      <c r="DU41" s="220"/>
      <c r="DV41" s="220"/>
      <c r="DW41" s="220"/>
      <c r="DX41" s="220"/>
      <c r="DY41" s="220"/>
      <c r="DZ41" s="220"/>
      <c r="EA41" s="220"/>
      <c r="EB41" s="220"/>
      <c r="EC41" s="220"/>
      <c r="ED41" s="220"/>
      <c r="EE41" s="220"/>
    </row>
    <row r="42" spans="1:135" s="236" customFormat="1" ht="23.25" customHeight="1">
      <c r="A42" s="234" t="s">
        <v>188</v>
      </c>
      <c r="B42" s="235" t="s">
        <v>132</v>
      </c>
      <c r="C42" s="91">
        <f>C43+C44</f>
        <v>84505</v>
      </c>
      <c r="D42" s="415">
        <f>D43+D44</f>
        <v>26860</v>
      </c>
    </row>
    <row r="43" spans="1:135" s="236" customFormat="1" ht="24.95" customHeight="1">
      <c r="A43" s="234" t="s">
        <v>11</v>
      </c>
      <c r="B43" s="235" t="s">
        <v>30</v>
      </c>
      <c r="C43" s="91"/>
      <c r="D43" s="1"/>
    </row>
    <row r="44" spans="1:135" s="236" customFormat="1" ht="24.95" customHeight="1">
      <c r="A44" s="234" t="s">
        <v>16</v>
      </c>
      <c r="B44" s="235" t="s">
        <v>31</v>
      </c>
      <c r="C44" s="91">
        <v>84505</v>
      </c>
      <c r="D44" s="1">
        <f>'[2]17-CK'!D29</f>
        <v>26860</v>
      </c>
    </row>
    <row r="46" spans="1:135">
      <c r="C46" s="238"/>
      <c r="D46" s="239"/>
    </row>
  </sheetData>
  <mergeCells count="9">
    <mergeCell ref="B8:C8"/>
    <mergeCell ref="B14:C14"/>
    <mergeCell ref="B27:C27"/>
    <mergeCell ref="B40:C40"/>
    <mergeCell ref="A2:D2"/>
    <mergeCell ref="A3:D3"/>
    <mergeCell ref="A4:D4"/>
    <mergeCell ref="B6:C6"/>
    <mergeCell ref="A7:C7"/>
  </mergeCells>
  <printOptions horizontalCentered="1"/>
  <pageMargins left="0.3" right="0.3" top="0.5" bottom="0.5" header="0.23622047244094499" footer="0.23622047244094499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21"/>
  <sheetViews>
    <sheetView workbookViewId="0">
      <selection activeCell="A2" sqref="A2:J2"/>
    </sheetView>
  </sheetViews>
  <sheetFormatPr defaultColWidth="7.140625" defaultRowHeight="12.75"/>
  <cols>
    <col min="1" max="1" width="7.28515625" style="35" customWidth="1"/>
    <col min="2" max="2" width="25.7109375" style="36" customWidth="1"/>
    <col min="3" max="3" width="13.5703125" style="37" customWidth="1"/>
    <col min="4" max="4" width="11.28515625" style="36" customWidth="1"/>
    <col min="5" max="5" width="12.5703125" style="191" customWidth="1"/>
    <col min="6" max="6" width="10.7109375" style="191" customWidth="1"/>
    <col min="7" max="7" width="11.42578125" style="36" customWidth="1"/>
    <col min="8" max="8" width="17.5703125" style="38" hidden="1" customWidth="1"/>
    <col min="9" max="9" width="12.42578125" style="38" hidden="1" customWidth="1"/>
    <col min="10" max="10" width="15.7109375" style="38" hidden="1" customWidth="1"/>
    <col min="11" max="11" width="12.7109375" style="36" customWidth="1"/>
    <col min="12" max="12" width="7.85546875" style="36" bestFit="1" customWidth="1"/>
    <col min="13" max="13" width="7.5703125" style="36" bestFit="1" customWidth="1"/>
    <col min="14" max="16384" width="7.140625" style="36"/>
  </cols>
  <sheetData>
    <row r="1" spans="1:13" s="41" customFormat="1" ht="39.75" customHeight="1">
      <c r="A1" s="390" t="s">
        <v>272</v>
      </c>
      <c r="B1" s="391"/>
      <c r="C1" s="391"/>
      <c r="D1" s="391"/>
      <c r="E1" s="391"/>
      <c r="F1" s="391"/>
      <c r="G1" s="391"/>
      <c r="H1" s="39"/>
      <c r="I1" s="40"/>
      <c r="J1" s="40"/>
    </row>
    <row r="2" spans="1:13" s="53" customFormat="1" ht="42" customHeight="1">
      <c r="A2" s="316" t="s">
        <v>297</v>
      </c>
      <c r="B2" s="316"/>
      <c r="C2" s="316"/>
      <c r="D2" s="316"/>
      <c r="E2" s="316"/>
      <c r="F2" s="316"/>
      <c r="G2" s="316"/>
      <c r="H2" s="316"/>
      <c r="I2" s="316"/>
      <c r="J2" s="316"/>
      <c r="K2" s="55"/>
      <c r="L2" s="55"/>
      <c r="M2" s="55"/>
    </row>
    <row r="3" spans="1:13" ht="26.25" customHeight="1">
      <c r="A3" s="392"/>
      <c r="B3" s="393"/>
      <c r="C3" s="42"/>
      <c r="D3" s="42"/>
      <c r="E3" s="403" t="s">
        <v>138</v>
      </c>
      <c r="F3" s="403"/>
      <c r="G3" s="403"/>
      <c r="H3" s="43"/>
    </row>
    <row r="4" spans="1:13" s="41" customFormat="1" ht="24.75" customHeight="1">
      <c r="A4" s="394" t="s">
        <v>20</v>
      </c>
      <c r="B4" s="397" t="s">
        <v>139</v>
      </c>
      <c r="C4" s="397" t="s">
        <v>166</v>
      </c>
      <c r="D4" s="398" t="s">
        <v>167</v>
      </c>
      <c r="E4" s="398"/>
      <c r="F4" s="398"/>
      <c r="G4" s="398"/>
      <c r="H4" s="412" t="s">
        <v>100</v>
      </c>
      <c r="I4" s="413"/>
      <c r="J4" s="413"/>
    </row>
    <row r="5" spans="1:13" ht="20.100000000000001" customHeight="1">
      <c r="A5" s="395"/>
      <c r="B5" s="397"/>
      <c r="C5" s="397" t="s">
        <v>140</v>
      </c>
      <c r="D5" s="394" t="s">
        <v>168</v>
      </c>
      <c r="E5" s="399" t="s">
        <v>141</v>
      </c>
      <c r="F5" s="402" t="s">
        <v>142</v>
      </c>
      <c r="G5" s="394" t="s">
        <v>143</v>
      </c>
      <c r="H5" s="406" t="s">
        <v>7</v>
      </c>
      <c r="I5" s="409" t="s">
        <v>87</v>
      </c>
      <c r="J5" s="409" t="s">
        <v>88</v>
      </c>
    </row>
    <row r="6" spans="1:13" s="44" customFormat="1" ht="20.100000000000001" customHeight="1">
      <c r="A6" s="395"/>
      <c r="B6" s="397"/>
      <c r="C6" s="397"/>
      <c r="D6" s="395"/>
      <c r="E6" s="400"/>
      <c r="F6" s="402"/>
      <c r="G6" s="395"/>
      <c r="H6" s="407"/>
      <c r="I6" s="410"/>
      <c r="J6" s="410"/>
    </row>
    <row r="7" spans="1:13" s="44" customFormat="1" ht="21" customHeight="1">
      <c r="A7" s="396"/>
      <c r="B7" s="397"/>
      <c r="C7" s="397"/>
      <c r="D7" s="396"/>
      <c r="E7" s="401"/>
      <c r="F7" s="402"/>
      <c r="G7" s="396"/>
      <c r="H7" s="408"/>
      <c r="I7" s="411"/>
      <c r="J7" s="411"/>
      <c r="M7" s="256">
        <f>C8-1600</f>
        <v>4866</v>
      </c>
    </row>
    <row r="8" spans="1:13" s="46" customFormat="1" ht="30.75" customHeight="1">
      <c r="A8" s="404" t="s">
        <v>7</v>
      </c>
      <c r="B8" s="405"/>
      <c r="C8" s="45">
        <f t="shared" ref="C8:C18" si="0">SUM(D8:G8)</f>
        <v>6466</v>
      </c>
      <c r="D8" s="45">
        <f>SUM(D9:D18)</f>
        <v>5070</v>
      </c>
      <c r="E8" s="189">
        <f t="shared" ref="E8:J8" si="1">SUM(E9:E18)</f>
        <v>455</v>
      </c>
      <c r="F8" s="189">
        <f t="shared" si="1"/>
        <v>441</v>
      </c>
      <c r="G8" s="45">
        <f t="shared" si="1"/>
        <v>500</v>
      </c>
      <c r="H8" s="45" t="e">
        <f t="shared" si="1"/>
        <v>#REF!</v>
      </c>
      <c r="I8" s="45">
        <f t="shared" si="1"/>
        <v>3266</v>
      </c>
      <c r="J8" s="45" t="e">
        <f t="shared" si="1"/>
        <v>#REF!</v>
      </c>
      <c r="K8" s="255"/>
    </row>
    <row r="9" spans="1:13" s="46" customFormat="1" ht="30.75" customHeight="1">
      <c r="A9" s="47">
        <v>1</v>
      </c>
      <c r="B9" s="48" t="s">
        <v>92</v>
      </c>
      <c r="C9" s="49">
        <f>SUM(D9:G9)</f>
        <v>3540</v>
      </c>
      <c r="D9" s="49">
        <v>3200</v>
      </c>
      <c r="E9" s="190">
        <v>80</v>
      </c>
      <c r="F9" s="190">
        <v>210</v>
      </c>
      <c r="G9" s="49">
        <v>50</v>
      </c>
      <c r="H9" s="50" t="e">
        <f>I9+J9</f>
        <v>#REF!</v>
      </c>
      <c r="I9" s="51">
        <f>G9+F9+E9</f>
        <v>340</v>
      </c>
      <c r="J9" s="50" t="e">
        <f>D9*0.5+#REF!*0.7</f>
        <v>#REF!</v>
      </c>
      <c r="L9" s="255"/>
    </row>
    <row r="10" spans="1:13" s="46" customFormat="1" ht="30.75" customHeight="1">
      <c r="A10" s="47">
        <v>2</v>
      </c>
      <c r="B10" s="48" t="s">
        <v>93</v>
      </c>
      <c r="C10" s="49">
        <f t="shared" si="0"/>
        <v>245</v>
      </c>
      <c r="D10" s="49">
        <v>110</v>
      </c>
      <c r="E10" s="190">
        <v>70</v>
      </c>
      <c r="F10" s="190">
        <v>15</v>
      </c>
      <c r="G10" s="49">
        <v>50</v>
      </c>
      <c r="H10" s="50" t="e">
        <f t="shared" ref="H10:H18" si="2">I10+J10</f>
        <v>#REF!</v>
      </c>
      <c r="I10" s="51">
        <f t="shared" ref="I10:I18" si="3">D10+E10+F10+G10</f>
        <v>245</v>
      </c>
      <c r="J10" s="49" t="e">
        <f>#REF!*0.7</f>
        <v>#REF!</v>
      </c>
      <c r="K10" s="255"/>
    </row>
    <row r="11" spans="1:13" s="46" customFormat="1" ht="30.75" customHeight="1">
      <c r="A11" s="47">
        <v>3</v>
      </c>
      <c r="B11" s="48" t="s">
        <v>94</v>
      </c>
      <c r="C11" s="49">
        <f t="shared" si="0"/>
        <v>575</v>
      </c>
      <c r="D11" s="49">
        <v>400</v>
      </c>
      <c r="E11" s="190">
        <v>70</v>
      </c>
      <c r="F11" s="190">
        <v>55</v>
      </c>
      <c r="G11" s="49">
        <v>50</v>
      </c>
      <c r="H11" s="50" t="e">
        <f t="shared" si="2"/>
        <v>#REF!</v>
      </c>
      <c r="I11" s="51">
        <f t="shared" si="3"/>
        <v>575</v>
      </c>
      <c r="J11" s="49" t="e">
        <f>#REF!*0.7</f>
        <v>#REF!</v>
      </c>
    </row>
    <row r="12" spans="1:13" s="46" customFormat="1" ht="30.75" customHeight="1">
      <c r="A12" s="47">
        <v>4</v>
      </c>
      <c r="B12" s="48" t="s">
        <v>95</v>
      </c>
      <c r="C12" s="49">
        <f t="shared" si="0"/>
        <v>378</v>
      </c>
      <c r="D12" s="49">
        <v>270</v>
      </c>
      <c r="E12" s="190">
        <v>35</v>
      </c>
      <c r="F12" s="190">
        <v>23</v>
      </c>
      <c r="G12" s="49">
        <v>50</v>
      </c>
      <c r="H12" s="50" t="e">
        <f t="shared" si="2"/>
        <v>#REF!</v>
      </c>
      <c r="I12" s="51">
        <f t="shared" si="3"/>
        <v>378</v>
      </c>
      <c r="J12" s="49" t="e">
        <f>#REF!*0.7</f>
        <v>#REF!</v>
      </c>
    </row>
    <row r="13" spans="1:13" s="46" customFormat="1" ht="30.75" customHeight="1">
      <c r="A13" s="47">
        <v>5</v>
      </c>
      <c r="B13" s="48" t="s">
        <v>96</v>
      </c>
      <c r="C13" s="49">
        <f t="shared" si="0"/>
        <v>272</v>
      </c>
      <c r="D13" s="49">
        <v>160</v>
      </c>
      <c r="E13" s="190">
        <v>40</v>
      </c>
      <c r="F13" s="190">
        <v>22</v>
      </c>
      <c r="G13" s="49">
        <v>50</v>
      </c>
      <c r="H13" s="50" t="e">
        <f t="shared" si="2"/>
        <v>#REF!</v>
      </c>
      <c r="I13" s="51">
        <f t="shared" si="3"/>
        <v>272</v>
      </c>
      <c r="J13" s="49" t="e">
        <f>#REF!*0.7</f>
        <v>#REF!</v>
      </c>
    </row>
    <row r="14" spans="1:13" s="46" customFormat="1" ht="30.75" customHeight="1">
      <c r="A14" s="47">
        <v>6</v>
      </c>
      <c r="B14" s="48" t="s">
        <v>250</v>
      </c>
      <c r="C14" s="49">
        <f t="shared" si="0"/>
        <v>425</v>
      </c>
      <c r="D14" s="49">
        <v>290</v>
      </c>
      <c r="E14" s="190">
        <v>40</v>
      </c>
      <c r="F14" s="190">
        <v>45</v>
      </c>
      <c r="G14" s="49">
        <v>50</v>
      </c>
      <c r="H14" s="50" t="e">
        <f t="shared" si="2"/>
        <v>#REF!</v>
      </c>
      <c r="I14" s="51">
        <f t="shared" si="3"/>
        <v>425</v>
      </c>
      <c r="J14" s="49" t="e">
        <f>#REF!*0.7</f>
        <v>#REF!</v>
      </c>
    </row>
    <row r="15" spans="1:13" s="46" customFormat="1" ht="30.75" customHeight="1">
      <c r="A15" s="47">
        <v>7</v>
      </c>
      <c r="B15" s="48" t="s">
        <v>97</v>
      </c>
      <c r="C15" s="49">
        <f t="shared" si="0"/>
        <v>375</v>
      </c>
      <c r="D15" s="49">
        <v>265</v>
      </c>
      <c r="E15" s="190">
        <v>30</v>
      </c>
      <c r="F15" s="190">
        <v>30</v>
      </c>
      <c r="G15" s="49">
        <v>50</v>
      </c>
      <c r="H15" s="50" t="e">
        <f t="shared" si="2"/>
        <v>#REF!</v>
      </c>
      <c r="I15" s="51">
        <f t="shared" si="3"/>
        <v>375</v>
      </c>
      <c r="J15" s="49" t="e">
        <f>#REF!*0.7</f>
        <v>#REF!</v>
      </c>
    </row>
    <row r="16" spans="1:13" s="46" customFormat="1" ht="30.75" customHeight="1">
      <c r="A16" s="47">
        <v>8</v>
      </c>
      <c r="B16" s="48" t="s">
        <v>224</v>
      </c>
      <c r="C16" s="49">
        <f t="shared" si="0"/>
        <v>205</v>
      </c>
      <c r="D16" s="49">
        <v>100</v>
      </c>
      <c r="E16" s="190">
        <v>40</v>
      </c>
      <c r="F16" s="190">
        <v>15</v>
      </c>
      <c r="G16" s="49">
        <v>50</v>
      </c>
      <c r="H16" s="50" t="e">
        <f t="shared" si="2"/>
        <v>#REF!</v>
      </c>
      <c r="I16" s="51">
        <f t="shared" si="3"/>
        <v>205</v>
      </c>
      <c r="J16" s="49" t="e">
        <f>#REF!*0.7</f>
        <v>#REF!</v>
      </c>
    </row>
    <row r="17" spans="1:10" s="46" customFormat="1" ht="30.75" customHeight="1">
      <c r="A17" s="47">
        <v>9</v>
      </c>
      <c r="B17" s="48" t="s">
        <v>98</v>
      </c>
      <c r="C17" s="49">
        <f t="shared" si="0"/>
        <v>271</v>
      </c>
      <c r="D17" s="49">
        <v>175</v>
      </c>
      <c r="E17" s="190">
        <v>30</v>
      </c>
      <c r="F17" s="190">
        <v>16</v>
      </c>
      <c r="G17" s="49">
        <v>50</v>
      </c>
      <c r="H17" s="50" t="e">
        <f t="shared" si="2"/>
        <v>#REF!</v>
      </c>
      <c r="I17" s="51">
        <f t="shared" si="3"/>
        <v>271</v>
      </c>
      <c r="J17" s="49" t="e">
        <f>#REF!*0.7</f>
        <v>#REF!</v>
      </c>
    </row>
    <row r="18" spans="1:10" s="46" customFormat="1" ht="30.75" customHeight="1">
      <c r="A18" s="47">
        <v>10</v>
      </c>
      <c r="B18" s="48" t="s">
        <v>99</v>
      </c>
      <c r="C18" s="49">
        <f t="shared" si="0"/>
        <v>180</v>
      </c>
      <c r="D18" s="49">
        <v>100</v>
      </c>
      <c r="E18" s="190">
        <v>20</v>
      </c>
      <c r="F18" s="190">
        <v>10</v>
      </c>
      <c r="G18" s="49">
        <v>50</v>
      </c>
      <c r="H18" s="50" t="e">
        <f t="shared" si="2"/>
        <v>#REF!</v>
      </c>
      <c r="I18" s="51">
        <f t="shared" si="3"/>
        <v>180</v>
      </c>
      <c r="J18" s="49" t="e">
        <f>#REF!*0.7</f>
        <v>#REF!</v>
      </c>
    </row>
    <row r="21" spans="1:10">
      <c r="D21" s="52"/>
    </row>
  </sheetData>
  <mergeCells count="17">
    <mergeCell ref="A8:B8"/>
    <mergeCell ref="H5:H7"/>
    <mergeCell ref="I5:I7"/>
    <mergeCell ref="J5:J7"/>
    <mergeCell ref="H4:J4"/>
    <mergeCell ref="D5:D7"/>
    <mergeCell ref="A1:G1"/>
    <mergeCell ref="A3:B3"/>
    <mergeCell ref="A4:A7"/>
    <mergeCell ref="B4:B7"/>
    <mergeCell ref="C4:C7"/>
    <mergeCell ref="D4:G4"/>
    <mergeCell ref="E5:E7"/>
    <mergeCell ref="F5:F7"/>
    <mergeCell ref="G5:G7"/>
    <mergeCell ref="E3:G3"/>
    <mergeCell ref="A2:J2"/>
  </mergeCells>
  <printOptions horizontalCentered="1"/>
  <pageMargins left="0.3" right="0.3" top="0.5" bottom="0.5" header="0.31496062992126" footer="0.3149606299212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81"/>
  <sheetViews>
    <sheetView tabSelected="1" workbookViewId="0">
      <selection activeCell="B1" sqref="A1:Q79"/>
    </sheetView>
  </sheetViews>
  <sheetFormatPr defaultColWidth="9.140625" defaultRowHeight="18" customHeight="1"/>
  <cols>
    <col min="1" max="1" width="5.85546875" style="286" customWidth="1"/>
    <col min="2" max="2" width="45.5703125" style="286" customWidth="1"/>
    <col min="3" max="3" width="9.7109375" style="287" customWidth="1"/>
    <col min="4" max="4" width="9.140625" style="286" customWidth="1"/>
    <col min="5" max="5" width="6.85546875" style="286" customWidth="1"/>
    <col min="6" max="6" width="6.5703125" style="286" customWidth="1"/>
    <col min="7" max="7" width="9.140625" style="286" customWidth="1"/>
    <col min="8" max="8" width="0.140625" style="286" hidden="1" customWidth="1"/>
    <col min="9" max="9" width="9.5703125" style="286" customWidth="1"/>
    <col min="10" max="11" width="7.7109375" style="286" customWidth="1"/>
    <col min="12" max="12" width="9.140625" style="286" customWidth="1"/>
    <col min="13" max="13" width="8.85546875" style="286" customWidth="1"/>
    <col min="14" max="14" width="8.140625" style="286" customWidth="1"/>
    <col min="15" max="15" width="8.28515625" style="286" customWidth="1"/>
    <col min="16" max="16" width="7.7109375" style="286" customWidth="1"/>
    <col min="17" max="17" width="9.42578125" style="286" customWidth="1"/>
    <col min="18" max="16384" width="9.140625" style="286"/>
  </cols>
  <sheetData>
    <row r="1" spans="1:17" ht="18" customHeight="1">
      <c r="N1" s="326" t="s">
        <v>179</v>
      </c>
      <c r="O1" s="326"/>
      <c r="P1" s="326"/>
      <c r="Q1" s="326"/>
    </row>
    <row r="2" spans="1:17" s="288" customFormat="1" ht="25.15" customHeight="1">
      <c r="A2" s="329" t="s">
        <v>285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7" s="289" customFormat="1" ht="28.9" customHeight="1">
      <c r="A3" s="327" t="s">
        <v>298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</row>
    <row r="4" spans="1:17" s="288" customFormat="1" ht="18.75" hidden="1">
      <c r="A4" s="328" t="s">
        <v>199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</row>
    <row r="5" spans="1:17" s="290" customFormat="1" ht="24" hidden="1" customHeight="1">
      <c r="A5" s="328" t="s">
        <v>144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</row>
    <row r="6" spans="1:17" ht="22.5" customHeight="1">
      <c r="C6" s="291"/>
      <c r="D6" s="292"/>
      <c r="E6" s="292"/>
      <c r="G6" s="292"/>
      <c r="J6" s="292"/>
      <c r="K6" s="292"/>
      <c r="N6" s="292"/>
      <c r="O6" s="321" t="s">
        <v>223</v>
      </c>
      <c r="P6" s="321"/>
      <c r="Q6" s="321"/>
    </row>
    <row r="7" spans="1:17" ht="26.25" customHeight="1">
      <c r="A7" s="322" t="s">
        <v>20</v>
      </c>
      <c r="B7" s="322" t="s">
        <v>22</v>
      </c>
      <c r="C7" s="322" t="s">
        <v>56</v>
      </c>
      <c r="D7" s="322" t="s">
        <v>105</v>
      </c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</row>
    <row r="8" spans="1:17" s="287" customFormat="1" ht="24" customHeight="1">
      <c r="A8" s="322"/>
      <c r="B8" s="322"/>
      <c r="C8" s="322"/>
      <c r="D8" s="322" t="s">
        <v>154</v>
      </c>
      <c r="E8" s="322" t="s">
        <v>148</v>
      </c>
      <c r="F8" s="322" t="s">
        <v>156</v>
      </c>
      <c r="G8" s="322" t="s">
        <v>230</v>
      </c>
      <c r="H8" s="322" t="s">
        <v>113</v>
      </c>
      <c r="I8" s="322" t="s">
        <v>114</v>
      </c>
      <c r="J8" s="322" t="s">
        <v>108</v>
      </c>
      <c r="K8" s="323" t="s">
        <v>105</v>
      </c>
      <c r="L8" s="324"/>
      <c r="M8" s="325"/>
      <c r="N8" s="322" t="s">
        <v>174</v>
      </c>
      <c r="O8" s="330" t="s">
        <v>134</v>
      </c>
      <c r="P8" s="322" t="s">
        <v>107</v>
      </c>
      <c r="Q8" s="322" t="s">
        <v>175</v>
      </c>
    </row>
    <row r="9" spans="1:17" s="287" customFormat="1" ht="14.25">
      <c r="A9" s="322"/>
      <c r="B9" s="322"/>
      <c r="C9" s="322"/>
      <c r="D9" s="322"/>
      <c r="E9" s="322"/>
      <c r="F9" s="322"/>
      <c r="G9" s="322"/>
      <c r="H9" s="322"/>
      <c r="I9" s="322"/>
      <c r="J9" s="322"/>
      <c r="K9" s="322" t="s">
        <v>266</v>
      </c>
      <c r="L9" s="322" t="s">
        <v>115</v>
      </c>
      <c r="M9" s="322" t="s">
        <v>106</v>
      </c>
      <c r="N9" s="322"/>
      <c r="O9" s="331"/>
      <c r="P9" s="322"/>
      <c r="Q9" s="322"/>
    </row>
    <row r="10" spans="1:17" s="287" customFormat="1" ht="123" customHeight="1">
      <c r="A10" s="322"/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32"/>
      <c r="P10" s="322"/>
      <c r="Q10" s="322"/>
    </row>
    <row r="11" spans="1:17" s="296" customFormat="1" ht="23.25" customHeight="1">
      <c r="A11" s="293" t="s">
        <v>9</v>
      </c>
      <c r="B11" s="293" t="s">
        <v>10</v>
      </c>
      <c r="C11" s="294">
        <v>1</v>
      </c>
      <c r="D11" s="293">
        <v>2</v>
      </c>
      <c r="E11" s="295">
        <v>3</v>
      </c>
      <c r="F11" s="293">
        <v>4</v>
      </c>
      <c r="G11" s="295">
        <v>5</v>
      </c>
      <c r="H11" s="295">
        <v>7</v>
      </c>
      <c r="I11" s="293">
        <v>7</v>
      </c>
      <c r="J11" s="293">
        <v>8</v>
      </c>
      <c r="K11" s="293">
        <v>9</v>
      </c>
      <c r="L11" s="293">
        <v>10</v>
      </c>
      <c r="M11" s="293">
        <v>11</v>
      </c>
      <c r="N11" s="293">
        <v>12</v>
      </c>
      <c r="O11" s="293">
        <v>13</v>
      </c>
      <c r="P11" s="293">
        <v>14</v>
      </c>
      <c r="Q11" s="293">
        <v>15</v>
      </c>
    </row>
    <row r="12" spans="1:17" s="287" customFormat="1" ht="25.15" customHeight="1">
      <c r="A12" s="297" t="s">
        <v>11</v>
      </c>
      <c r="B12" s="297" t="s">
        <v>7</v>
      </c>
      <c r="C12" s="298">
        <f>SUM(D12:Q12)-L12-M12</f>
        <v>698358</v>
      </c>
      <c r="D12" s="298">
        <f t="shared" ref="D12:I12" si="0">SUM(D13:D66)-D15</f>
        <v>479751</v>
      </c>
      <c r="E12" s="298">
        <f t="shared" si="0"/>
        <v>8124</v>
      </c>
      <c r="F12" s="298">
        <f t="shared" si="0"/>
        <v>2227</v>
      </c>
      <c r="G12" s="298">
        <f t="shared" si="0"/>
        <v>4683</v>
      </c>
      <c r="H12" s="298">
        <f t="shared" si="0"/>
        <v>0</v>
      </c>
      <c r="I12" s="298">
        <f t="shared" si="0"/>
        <v>20246</v>
      </c>
      <c r="J12" s="298">
        <f>SUM(J13:J66)</f>
        <v>44359</v>
      </c>
      <c r="K12" s="298">
        <f>SUM(K13:K66)-K15</f>
        <v>30000</v>
      </c>
      <c r="L12" s="298">
        <f>SUM(L13:L66)-L15</f>
        <v>3000</v>
      </c>
      <c r="M12" s="298">
        <f>SUM(M13:M66)-M15</f>
        <v>600</v>
      </c>
      <c r="N12" s="298">
        <f>N15+N21+N22+N25+N26+N27+N28+N31+N32+N35+N38+N39+N40+N42+N43+N44+N45+N46+N47+N48+N49+N50+N51+N52+N53+N61+N62+N63+N64+N66</f>
        <v>50560</v>
      </c>
      <c r="O12" s="298">
        <f>O55+O60+O57+O58+O59+O56</f>
        <v>3125</v>
      </c>
      <c r="P12" s="298">
        <f>SUM(P13:P66)-P15</f>
        <v>53423</v>
      </c>
      <c r="Q12" s="298">
        <f>SUM(Q13:Q66)</f>
        <v>1860</v>
      </c>
    </row>
    <row r="13" spans="1:17" ht="35.1" customHeight="1">
      <c r="A13" s="300">
        <v>1</v>
      </c>
      <c r="B13" s="301" t="s">
        <v>155</v>
      </c>
      <c r="C13" s="302">
        <f t="shared" ref="C13:C44" si="1">SUM(D13:Q13)</f>
        <v>3942</v>
      </c>
      <c r="D13" s="302"/>
      <c r="E13" s="302">
        <v>3942</v>
      </c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</row>
    <row r="14" spans="1:17" ht="21.95" customHeight="1">
      <c r="A14" s="300">
        <v>2</v>
      </c>
      <c r="B14" s="303" t="s">
        <v>229</v>
      </c>
      <c r="C14" s="302">
        <f t="shared" si="1"/>
        <v>4148</v>
      </c>
      <c r="D14" s="302"/>
      <c r="E14" s="302"/>
      <c r="F14" s="302"/>
      <c r="G14" s="302">
        <f>2548+1100+500</f>
        <v>4148</v>
      </c>
      <c r="H14" s="302"/>
      <c r="I14" s="302"/>
      <c r="J14" s="302"/>
      <c r="K14" s="302"/>
      <c r="L14" s="302"/>
      <c r="M14" s="302"/>
      <c r="N14" s="302"/>
      <c r="O14" s="302"/>
      <c r="P14" s="302"/>
      <c r="Q14" s="302"/>
    </row>
    <row r="15" spans="1:17" ht="21.95" customHeight="1">
      <c r="A15" s="300">
        <v>4</v>
      </c>
      <c r="B15" s="303" t="s">
        <v>292</v>
      </c>
      <c r="C15" s="302">
        <f>SUM(D15:Q15)</f>
        <v>8390</v>
      </c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302">
        <f>N16+N17+N18+N19+N20</f>
        <v>8390</v>
      </c>
      <c r="O15" s="302">
        <f>SUM(P15:Q15)</f>
        <v>0</v>
      </c>
      <c r="P15" s="302">
        <f>SUM(Q15:Q15)</f>
        <v>0</v>
      </c>
      <c r="Q15" s="302"/>
    </row>
    <row r="16" spans="1:17" ht="21.95" customHeight="1">
      <c r="A16" s="304" t="s">
        <v>124</v>
      </c>
      <c r="B16" s="303" t="s">
        <v>149</v>
      </c>
      <c r="C16" s="302">
        <f t="shared" si="1"/>
        <v>5228</v>
      </c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>
        <f>4227+990+11</f>
        <v>5228</v>
      </c>
      <c r="O16" s="302"/>
      <c r="P16" s="302"/>
      <c r="Q16" s="302"/>
    </row>
    <row r="17" spans="1:17" ht="21.95" customHeight="1">
      <c r="A17" s="304" t="s">
        <v>124</v>
      </c>
      <c r="B17" s="303" t="s">
        <v>197</v>
      </c>
      <c r="C17" s="302">
        <f t="shared" si="1"/>
        <v>1000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>
        <v>1000</v>
      </c>
      <c r="O17" s="302"/>
      <c r="P17" s="302"/>
      <c r="Q17" s="302"/>
    </row>
    <row r="18" spans="1:17" ht="21.95" customHeight="1">
      <c r="A18" s="304" t="s">
        <v>124</v>
      </c>
      <c r="B18" s="303" t="s">
        <v>198</v>
      </c>
      <c r="C18" s="302">
        <f t="shared" si="1"/>
        <v>1264</v>
      </c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>
        <f>326+594+344</f>
        <v>1264</v>
      </c>
      <c r="O18" s="302"/>
      <c r="P18" s="302"/>
      <c r="Q18" s="302"/>
    </row>
    <row r="19" spans="1:17" ht="35.25" customHeight="1">
      <c r="A19" s="304" t="s">
        <v>124</v>
      </c>
      <c r="B19" s="301" t="s">
        <v>203</v>
      </c>
      <c r="C19" s="302">
        <f t="shared" si="1"/>
        <v>210</v>
      </c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>
        <f>60+150</f>
        <v>210</v>
      </c>
      <c r="O19" s="302"/>
      <c r="P19" s="302"/>
      <c r="Q19" s="302"/>
    </row>
    <row r="20" spans="1:17" ht="32.25" customHeight="1">
      <c r="A20" s="304" t="s">
        <v>124</v>
      </c>
      <c r="B20" s="301" t="s">
        <v>267</v>
      </c>
      <c r="C20" s="302">
        <f t="shared" si="1"/>
        <v>688</v>
      </c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>
        <f>658+30</f>
        <v>688</v>
      </c>
      <c r="O20" s="302"/>
      <c r="P20" s="302"/>
      <c r="Q20" s="302"/>
    </row>
    <row r="21" spans="1:17" ht="21.95" customHeight="1">
      <c r="A21" s="304">
        <v>5</v>
      </c>
      <c r="B21" s="303" t="s">
        <v>200</v>
      </c>
      <c r="C21" s="302">
        <f>SUM(D21:Q21)</f>
        <v>2076</v>
      </c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>
        <v>1276</v>
      </c>
      <c r="O21" s="302"/>
      <c r="P21" s="302"/>
      <c r="Q21" s="302">
        <f>800</f>
        <v>800</v>
      </c>
    </row>
    <row r="22" spans="1:17" ht="23.25" customHeight="1">
      <c r="A22" s="304">
        <v>6</v>
      </c>
      <c r="B22" s="301" t="s">
        <v>245</v>
      </c>
      <c r="C22" s="302">
        <f>SUM(D22:Q22)</f>
        <v>54800</v>
      </c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>
        <f>SUM(N23:N24)</f>
        <v>1377</v>
      </c>
      <c r="O22" s="302"/>
      <c r="P22" s="302">
        <v>53423</v>
      </c>
      <c r="Q22" s="302"/>
    </row>
    <row r="23" spans="1:17" ht="21.95" customHeight="1">
      <c r="A23" s="304" t="s">
        <v>124</v>
      </c>
      <c r="B23" s="303" t="s">
        <v>149</v>
      </c>
      <c r="C23" s="302">
        <f t="shared" si="1"/>
        <v>1299</v>
      </c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>
        <f>968+225+11+95</f>
        <v>1299</v>
      </c>
      <c r="O23" s="302"/>
      <c r="P23" s="302"/>
      <c r="Q23" s="302"/>
    </row>
    <row r="24" spans="1:17" ht="31.5" customHeight="1">
      <c r="A24" s="304" t="s">
        <v>124</v>
      </c>
      <c r="B24" s="301" t="s">
        <v>267</v>
      </c>
      <c r="C24" s="302">
        <f t="shared" si="1"/>
        <v>78</v>
      </c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>
        <v>78</v>
      </c>
      <c r="O24" s="302"/>
      <c r="P24" s="302"/>
      <c r="Q24" s="302"/>
    </row>
    <row r="25" spans="1:17" ht="21.95" customHeight="1">
      <c r="A25" s="304">
        <v>7</v>
      </c>
      <c r="B25" s="301" t="s">
        <v>201</v>
      </c>
      <c r="C25" s="302">
        <f t="shared" si="1"/>
        <v>978</v>
      </c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>
        <v>978</v>
      </c>
      <c r="O25" s="302"/>
      <c r="P25" s="302"/>
      <c r="Q25" s="302"/>
    </row>
    <row r="26" spans="1:17" ht="21.95" customHeight="1">
      <c r="A26" s="304">
        <v>8</v>
      </c>
      <c r="B26" s="303" t="s">
        <v>293</v>
      </c>
      <c r="C26" s="302">
        <f t="shared" si="1"/>
        <v>1234</v>
      </c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>
        <v>1234</v>
      </c>
      <c r="O26" s="302"/>
      <c r="P26" s="302"/>
      <c r="Q26" s="302"/>
    </row>
    <row r="27" spans="1:17" ht="23.25" customHeight="1">
      <c r="A27" s="304">
        <v>9</v>
      </c>
      <c r="B27" s="301" t="s">
        <v>204</v>
      </c>
      <c r="C27" s="302">
        <f t="shared" si="1"/>
        <v>2233</v>
      </c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>
        <v>2233</v>
      </c>
      <c r="O27" s="302"/>
      <c r="P27" s="302"/>
      <c r="Q27" s="302"/>
    </row>
    <row r="28" spans="1:17" ht="24" customHeight="1">
      <c r="A28" s="304">
        <v>10</v>
      </c>
      <c r="B28" s="301" t="s">
        <v>205</v>
      </c>
      <c r="C28" s="302">
        <f>SUM(D28:Q28)-M28</f>
        <v>2558</v>
      </c>
      <c r="D28" s="302"/>
      <c r="E28" s="302"/>
      <c r="F28" s="302"/>
      <c r="G28" s="302"/>
      <c r="H28" s="302"/>
      <c r="I28" s="302"/>
      <c r="J28" s="302">
        <v>600</v>
      </c>
      <c r="K28" s="302"/>
      <c r="L28" s="302"/>
      <c r="M28" s="302">
        <v>600</v>
      </c>
      <c r="N28" s="302">
        <f>N29+N30</f>
        <v>1958</v>
      </c>
      <c r="O28" s="302"/>
      <c r="P28" s="302"/>
      <c r="Q28" s="302"/>
    </row>
    <row r="29" spans="1:17" ht="24" customHeight="1">
      <c r="A29" s="304" t="s">
        <v>124</v>
      </c>
      <c r="B29" s="303" t="s">
        <v>149</v>
      </c>
      <c r="C29" s="302">
        <f t="shared" si="1"/>
        <v>1839</v>
      </c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>
        <v>1839</v>
      </c>
      <c r="O29" s="302"/>
      <c r="P29" s="302"/>
      <c r="Q29" s="302"/>
    </row>
    <row r="30" spans="1:17" ht="37.5" customHeight="1">
      <c r="A30" s="304" t="s">
        <v>124</v>
      </c>
      <c r="B30" s="301" t="s">
        <v>267</v>
      </c>
      <c r="C30" s="302">
        <f t="shared" si="1"/>
        <v>119</v>
      </c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>
        <v>119</v>
      </c>
      <c r="O30" s="302"/>
      <c r="P30" s="302"/>
      <c r="Q30" s="302"/>
    </row>
    <row r="31" spans="1:17" ht="24" customHeight="1">
      <c r="A31" s="304">
        <v>11</v>
      </c>
      <c r="B31" s="301" t="s">
        <v>206</v>
      </c>
      <c r="C31" s="302">
        <f>SUM(D31:Q31)</f>
        <v>21457</v>
      </c>
      <c r="D31" s="302"/>
      <c r="E31" s="302"/>
      <c r="F31" s="302"/>
      <c r="G31" s="302"/>
      <c r="H31" s="302"/>
      <c r="I31" s="302">
        <f>21254-1008</f>
        <v>20246</v>
      </c>
      <c r="J31" s="302"/>
      <c r="K31" s="302"/>
      <c r="L31" s="302"/>
      <c r="M31" s="302"/>
      <c r="N31" s="302">
        <v>1211</v>
      </c>
      <c r="O31" s="302"/>
      <c r="P31" s="302"/>
      <c r="Q31" s="302"/>
    </row>
    <row r="32" spans="1:17" ht="23.25" customHeight="1">
      <c r="A32" s="304">
        <v>12</v>
      </c>
      <c r="B32" s="301" t="s">
        <v>207</v>
      </c>
      <c r="C32" s="302">
        <f>SUM(D32:Q32)</f>
        <v>1047</v>
      </c>
      <c r="D32" s="302"/>
      <c r="E32" s="302"/>
      <c r="F32" s="302"/>
      <c r="G32" s="302"/>
      <c r="H32" s="302"/>
      <c r="I32" s="302"/>
      <c r="J32" s="302"/>
      <c r="K32" s="302"/>
      <c r="L32" s="302"/>
      <c r="M32" s="302"/>
      <c r="N32" s="302">
        <f>N33+N34</f>
        <v>1047</v>
      </c>
      <c r="O32" s="302"/>
      <c r="P32" s="302"/>
      <c r="Q32" s="302"/>
    </row>
    <row r="33" spans="1:17" ht="23.25" customHeight="1">
      <c r="A33" s="304" t="s">
        <v>124</v>
      </c>
      <c r="B33" s="303" t="s">
        <v>149</v>
      </c>
      <c r="C33" s="302">
        <f t="shared" si="1"/>
        <v>955</v>
      </c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>
        <f>955</f>
        <v>955</v>
      </c>
      <c r="O33" s="302"/>
      <c r="P33" s="302"/>
      <c r="Q33" s="302"/>
    </row>
    <row r="34" spans="1:17" ht="36.75" customHeight="1">
      <c r="A34" s="304" t="s">
        <v>124</v>
      </c>
      <c r="B34" s="301" t="s">
        <v>267</v>
      </c>
      <c r="C34" s="302">
        <f t="shared" si="1"/>
        <v>92</v>
      </c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>
        <v>92</v>
      </c>
      <c r="O34" s="302"/>
      <c r="P34" s="302"/>
      <c r="Q34" s="302"/>
    </row>
    <row r="35" spans="1:17" ht="23.25" customHeight="1">
      <c r="A35" s="304">
        <v>13</v>
      </c>
      <c r="B35" s="301" t="s">
        <v>294</v>
      </c>
      <c r="C35" s="302">
        <f>SUM(D35:Q35)</f>
        <v>1775</v>
      </c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>
        <f>N36+N37</f>
        <v>1775</v>
      </c>
      <c r="O35" s="302"/>
      <c r="P35" s="302"/>
      <c r="Q35" s="302"/>
    </row>
    <row r="36" spans="1:17" ht="23.25" customHeight="1">
      <c r="A36" s="304" t="s">
        <v>124</v>
      </c>
      <c r="B36" s="303" t="s">
        <v>149</v>
      </c>
      <c r="C36" s="302">
        <f>SUM(D36:Q36)</f>
        <v>1689</v>
      </c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>
        <v>1689</v>
      </c>
      <c r="O36" s="302"/>
      <c r="P36" s="302"/>
      <c r="Q36" s="302"/>
    </row>
    <row r="37" spans="1:17" ht="36.75" customHeight="1">
      <c r="A37" s="304" t="s">
        <v>124</v>
      </c>
      <c r="B37" s="301" t="s">
        <v>267</v>
      </c>
      <c r="C37" s="302">
        <f t="shared" ref="C37" si="2">SUM(D37:Q37)</f>
        <v>86</v>
      </c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>
        <v>86</v>
      </c>
      <c r="O37" s="302"/>
      <c r="P37" s="302"/>
      <c r="Q37" s="302"/>
    </row>
    <row r="38" spans="1:17" ht="23.25" customHeight="1">
      <c r="A38" s="304">
        <v>14</v>
      </c>
      <c r="B38" s="301" t="s">
        <v>208</v>
      </c>
      <c r="C38" s="302">
        <f>SUM(D38:Q38)-J38</f>
        <v>34146</v>
      </c>
      <c r="D38" s="302"/>
      <c r="E38" s="302"/>
      <c r="F38" s="302"/>
      <c r="G38" s="302"/>
      <c r="H38" s="302"/>
      <c r="I38" s="302"/>
      <c r="J38" s="302">
        <f>K38+L38</f>
        <v>33000</v>
      </c>
      <c r="K38" s="302">
        <v>30000</v>
      </c>
      <c r="L38" s="302">
        <v>3000</v>
      </c>
      <c r="M38" s="302"/>
      <c r="N38" s="302">
        <v>1146</v>
      </c>
      <c r="O38" s="302"/>
      <c r="P38" s="302"/>
      <c r="Q38" s="302"/>
    </row>
    <row r="39" spans="1:17" ht="23.25" customHeight="1">
      <c r="A39" s="304">
        <v>15</v>
      </c>
      <c r="B39" s="301" t="s">
        <v>209</v>
      </c>
      <c r="C39" s="302">
        <f t="shared" si="1"/>
        <v>746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>
        <v>746</v>
      </c>
      <c r="O39" s="302"/>
      <c r="P39" s="302"/>
      <c r="Q39" s="302"/>
    </row>
    <row r="40" spans="1:17" ht="23.25" customHeight="1">
      <c r="A40" s="304">
        <v>16</v>
      </c>
      <c r="B40" s="301" t="s">
        <v>135</v>
      </c>
      <c r="C40" s="302">
        <f>SUM(D40:Q40)</f>
        <v>13819</v>
      </c>
      <c r="D40" s="302"/>
      <c r="E40" s="302">
        <f>450+800+819</f>
        <v>2069</v>
      </c>
      <c r="F40" s="302"/>
      <c r="G40" s="302"/>
      <c r="H40" s="302"/>
      <c r="I40" s="302"/>
      <c r="J40" s="302"/>
      <c r="K40" s="302"/>
      <c r="L40" s="302"/>
      <c r="M40" s="302"/>
      <c r="N40" s="302">
        <v>11750</v>
      </c>
      <c r="O40" s="302"/>
      <c r="P40" s="302"/>
      <c r="Q40" s="302"/>
    </row>
    <row r="41" spans="1:17" ht="36.75" customHeight="1">
      <c r="A41" s="305" t="s">
        <v>21</v>
      </c>
      <c r="B41" s="301" t="s">
        <v>268</v>
      </c>
      <c r="C41" s="302">
        <f t="shared" si="1"/>
        <v>447</v>
      </c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>
        <v>447</v>
      </c>
      <c r="O41" s="302"/>
      <c r="P41" s="302"/>
      <c r="Q41" s="302"/>
    </row>
    <row r="42" spans="1:17" ht="23.25" customHeight="1">
      <c r="A42" s="304">
        <v>18</v>
      </c>
      <c r="B42" s="301" t="s">
        <v>215</v>
      </c>
      <c r="C42" s="302">
        <f t="shared" si="1"/>
        <v>1364</v>
      </c>
      <c r="D42" s="302"/>
      <c r="E42" s="302"/>
      <c r="F42" s="302"/>
      <c r="G42" s="302"/>
      <c r="H42" s="302"/>
      <c r="I42" s="302"/>
      <c r="J42" s="302"/>
      <c r="K42" s="302"/>
      <c r="L42" s="302"/>
      <c r="M42" s="302"/>
      <c r="N42" s="302">
        <v>1364</v>
      </c>
      <c r="O42" s="302"/>
      <c r="P42" s="302"/>
      <c r="Q42" s="302"/>
    </row>
    <row r="43" spans="1:17" ht="21.95" customHeight="1">
      <c r="A43" s="304">
        <v>19</v>
      </c>
      <c r="B43" s="301" t="s">
        <v>210</v>
      </c>
      <c r="C43" s="302">
        <f t="shared" si="1"/>
        <v>880</v>
      </c>
      <c r="D43" s="302"/>
      <c r="E43" s="302"/>
      <c r="F43" s="302"/>
      <c r="G43" s="302"/>
      <c r="H43" s="302"/>
      <c r="I43" s="302"/>
      <c r="J43" s="302"/>
      <c r="K43" s="302"/>
      <c r="L43" s="302"/>
      <c r="M43" s="302"/>
      <c r="N43" s="302">
        <v>880</v>
      </c>
      <c r="O43" s="302"/>
      <c r="P43" s="302"/>
      <c r="Q43" s="302"/>
    </row>
    <row r="44" spans="1:17" ht="21.95" customHeight="1">
      <c r="A44" s="304">
        <v>20</v>
      </c>
      <c r="B44" s="301" t="s">
        <v>211</v>
      </c>
      <c r="C44" s="302">
        <f t="shared" si="1"/>
        <v>1045</v>
      </c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>
        <v>1045</v>
      </c>
      <c r="O44" s="302"/>
      <c r="P44" s="302"/>
      <c r="Q44" s="302"/>
    </row>
    <row r="45" spans="1:17" ht="25.5" customHeight="1">
      <c r="A45" s="304">
        <v>21</v>
      </c>
      <c r="B45" s="301" t="s">
        <v>212</v>
      </c>
      <c r="C45" s="302">
        <f t="shared" ref="C45:C65" si="3">SUM(D45:Q45)</f>
        <v>1304</v>
      </c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>
        <v>1304</v>
      </c>
      <c r="O45" s="302"/>
      <c r="P45" s="302"/>
      <c r="Q45" s="302"/>
    </row>
    <row r="46" spans="1:17" ht="21.95" customHeight="1">
      <c r="A46" s="304">
        <v>22</v>
      </c>
      <c r="B46" s="301" t="s">
        <v>213</v>
      </c>
      <c r="C46" s="302">
        <f t="shared" si="3"/>
        <v>578</v>
      </c>
      <c r="D46" s="302"/>
      <c r="E46" s="302"/>
      <c r="F46" s="302"/>
      <c r="G46" s="302"/>
      <c r="H46" s="302"/>
      <c r="I46" s="302"/>
      <c r="J46" s="302"/>
      <c r="K46" s="302"/>
      <c r="L46" s="302"/>
      <c r="M46" s="302"/>
      <c r="N46" s="302">
        <v>578</v>
      </c>
      <c r="O46" s="302"/>
      <c r="P46" s="302"/>
      <c r="Q46" s="302"/>
    </row>
    <row r="47" spans="1:17" ht="21.95" customHeight="1">
      <c r="A47" s="304">
        <v>23</v>
      </c>
      <c r="B47" s="301" t="s">
        <v>214</v>
      </c>
      <c r="C47" s="302">
        <f t="shared" si="3"/>
        <v>794</v>
      </c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>
        <v>794</v>
      </c>
      <c r="O47" s="302"/>
      <c r="P47" s="302"/>
      <c r="Q47" s="302"/>
    </row>
    <row r="48" spans="1:17" ht="21.95" customHeight="1">
      <c r="A48" s="304">
        <v>24</v>
      </c>
      <c r="B48" s="301" t="s">
        <v>116</v>
      </c>
      <c r="C48" s="302">
        <f t="shared" si="3"/>
        <v>105</v>
      </c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>
        <v>105</v>
      </c>
      <c r="O48" s="302"/>
      <c r="P48" s="302"/>
      <c r="Q48" s="302"/>
    </row>
    <row r="49" spans="1:17" ht="21.95" customHeight="1">
      <c r="A49" s="304">
        <v>25</v>
      </c>
      <c r="B49" s="306" t="s">
        <v>117</v>
      </c>
      <c r="C49" s="302">
        <f t="shared" si="3"/>
        <v>189</v>
      </c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>
        <v>189</v>
      </c>
      <c r="O49" s="302"/>
      <c r="P49" s="302"/>
      <c r="Q49" s="302"/>
    </row>
    <row r="50" spans="1:17" ht="21.95" customHeight="1">
      <c r="A50" s="304">
        <v>26</v>
      </c>
      <c r="B50" s="306" t="s">
        <v>118</v>
      </c>
      <c r="C50" s="302">
        <f t="shared" si="3"/>
        <v>189</v>
      </c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>
        <v>189</v>
      </c>
      <c r="O50" s="302"/>
      <c r="P50" s="302"/>
      <c r="Q50" s="302"/>
    </row>
    <row r="51" spans="1:17" ht="21.95" customHeight="1">
      <c r="A51" s="304">
        <v>27</v>
      </c>
      <c r="B51" s="306" t="s">
        <v>119</v>
      </c>
      <c r="C51" s="302">
        <f t="shared" si="3"/>
        <v>189</v>
      </c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>
        <v>189</v>
      </c>
      <c r="O51" s="302"/>
      <c r="P51" s="302"/>
      <c r="Q51" s="302"/>
    </row>
    <row r="52" spans="1:17" ht="21.95" customHeight="1">
      <c r="A52" s="304">
        <v>28</v>
      </c>
      <c r="B52" s="306" t="s">
        <v>120</v>
      </c>
      <c r="C52" s="302">
        <f t="shared" si="3"/>
        <v>189</v>
      </c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>
        <v>189</v>
      </c>
      <c r="O52" s="302"/>
      <c r="P52" s="302"/>
      <c r="Q52" s="302"/>
    </row>
    <row r="53" spans="1:17" ht="21.95" customHeight="1">
      <c r="A53" s="304">
        <v>29</v>
      </c>
      <c r="B53" s="306" t="s">
        <v>121</v>
      </c>
      <c r="C53" s="302">
        <f>SUM(D53:Q53)</f>
        <v>247</v>
      </c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>
        <v>247</v>
      </c>
      <c r="O53" s="302"/>
      <c r="P53" s="302"/>
      <c r="Q53" s="302"/>
    </row>
    <row r="54" spans="1:17" ht="21.95" customHeight="1">
      <c r="A54" s="304">
        <v>30</v>
      </c>
      <c r="B54" s="306" t="s">
        <v>232</v>
      </c>
      <c r="C54" s="302">
        <f t="shared" si="3"/>
        <v>2227</v>
      </c>
      <c r="D54" s="302"/>
      <c r="E54" s="302"/>
      <c r="F54" s="302">
        <f>2474-247</f>
        <v>2227</v>
      </c>
      <c r="G54" s="302"/>
      <c r="H54" s="302"/>
      <c r="I54" s="302"/>
      <c r="J54" s="302"/>
      <c r="K54" s="302"/>
      <c r="L54" s="302"/>
      <c r="M54" s="302"/>
      <c r="N54" s="302"/>
      <c r="O54" s="302"/>
      <c r="P54" s="302"/>
      <c r="Q54" s="302"/>
    </row>
    <row r="55" spans="1:17" ht="21.95" customHeight="1">
      <c r="A55" s="304">
        <v>30</v>
      </c>
      <c r="B55" s="303" t="s">
        <v>241</v>
      </c>
      <c r="C55" s="302">
        <f>SUM(D55:Q55)</f>
        <v>2239</v>
      </c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>
        <f>2239</f>
        <v>2239</v>
      </c>
      <c r="P55" s="302"/>
      <c r="Q55" s="302"/>
    </row>
    <row r="56" spans="1:17" ht="21.95" customHeight="1">
      <c r="A56" s="305" t="s">
        <v>21</v>
      </c>
      <c r="B56" s="303" t="s">
        <v>150</v>
      </c>
      <c r="C56" s="302">
        <f>SUM(D56:Q56)</f>
        <v>350</v>
      </c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>
        <v>350</v>
      </c>
      <c r="P56" s="302"/>
      <c r="Q56" s="302"/>
    </row>
    <row r="57" spans="1:17" ht="21.95" customHeight="1">
      <c r="A57" s="304">
        <v>31</v>
      </c>
      <c r="B57" s="306" t="s">
        <v>242</v>
      </c>
      <c r="C57" s="302">
        <f t="shared" si="3"/>
        <v>30</v>
      </c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>
        <v>30</v>
      </c>
      <c r="P57" s="302"/>
      <c r="Q57" s="302"/>
    </row>
    <row r="58" spans="1:17" ht="21.95" customHeight="1">
      <c r="A58" s="304">
        <v>32</v>
      </c>
      <c r="B58" s="306" t="s">
        <v>243</v>
      </c>
      <c r="C58" s="302">
        <f t="shared" si="3"/>
        <v>30</v>
      </c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>
        <v>30</v>
      </c>
      <c r="P58" s="302"/>
      <c r="Q58" s="302"/>
    </row>
    <row r="59" spans="1:17" ht="21.95" customHeight="1">
      <c r="A59" s="304">
        <v>33</v>
      </c>
      <c r="B59" s="306" t="s">
        <v>244</v>
      </c>
      <c r="C59" s="302">
        <f t="shared" si="3"/>
        <v>30</v>
      </c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>
        <v>30</v>
      </c>
      <c r="P59" s="302"/>
      <c r="Q59" s="302"/>
    </row>
    <row r="60" spans="1:17" ht="21.95" customHeight="1">
      <c r="A60" s="304">
        <v>34</v>
      </c>
      <c r="B60" s="303" t="s">
        <v>136</v>
      </c>
      <c r="C60" s="302">
        <f t="shared" si="3"/>
        <v>446</v>
      </c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>
        <f>495-49</f>
        <v>446</v>
      </c>
      <c r="P60" s="302"/>
      <c r="Q60" s="302"/>
    </row>
    <row r="61" spans="1:17" ht="21.95" customHeight="1">
      <c r="A61" s="304">
        <v>35</v>
      </c>
      <c r="B61" s="307" t="s">
        <v>122</v>
      </c>
      <c r="C61" s="302">
        <f t="shared" si="3"/>
        <v>30</v>
      </c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>
        <v>30</v>
      </c>
      <c r="O61" s="302"/>
      <c r="P61" s="302"/>
      <c r="Q61" s="302"/>
    </row>
    <row r="62" spans="1:17" ht="21.95" customHeight="1">
      <c r="A62" s="304">
        <v>36</v>
      </c>
      <c r="B62" s="307" t="s">
        <v>137</v>
      </c>
      <c r="C62" s="302">
        <f t="shared" si="3"/>
        <v>30</v>
      </c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>
        <v>30</v>
      </c>
      <c r="O62" s="302"/>
      <c r="P62" s="302"/>
      <c r="Q62" s="302"/>
    </row>
    <row r="63" spans="1:17" ht="36.75" customHeight="1">
      <c r="A63" s="304">
        <v>37</v>
      </c>
      <c r="B63" s="307" t="s">
        <v>151</v>
      </c>
      <c r="C63" s="302">
        <f t="shared" si="3"/>
        <v>80</v>
      </c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>
        <v>80</v>
      </c>
      <c r="O63" s="302"/>
      <c r="P63" s="302"/>
      <c r="Q63" s="302"/>
    </row>
    <row r="64" spans="1:17" ht="21.95" customHeight="1">
      <c r="A64" s="304">
        <v>38</v>
      </c>
      <c r="B64" s="307" t="s">
        <v>123</v>
      </c>
      <c r="C64" s="302">
        <f t="shared" si="3"/>
        <v>30</v>
      </c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>
        <v>30</v>
      </c>
      <c r="O64" s="302"/>
      <c r="P64" s="302"/>
      <c r="Q64" s="302"/>
    </row>
    <row r="65" spans="1:17" ht="26.25" customHeight="1">
      <c r="A65" s="304">
        <v>40</v>
      </c>
      <c r="B65" s="307" t="s">
        <v>228</v>
      </c>
      <c r="C65" s="302">
        <f t="shared" si="3"/>
        <v>200</v>
      </c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2"/>
      <c r="Q65" s="302">
        <v>200</v>
      </c>
    </row>
    <row r="66" spans="1:17" ht="21.95" customHeight="1">
      <c r="A66" s="304">
        <v>41</v>
      </c>
      <c r="B66" s="303" t="s">
        <v>176</v>
      </c>
      <c r="C66" s="302">
        <f t="shared" ref="C66:J66" si="4">SUM(C68:C79)-C73</f>
        <v>501354</v>
      </c>
      <c r="D66" s="302">
        <f t="shared" si="4"/>
        <v>479751</v>
      </c>
      <c r="E66" s="302">
        <f t="shared" si="4"/>
        <v>2113</v>
      </c>
      <c r="F66" s="302">
        <f t="shared" si="4"/>
        <v>0</v>
      </c>
      <c r="G66" s="302">
        <f t="shared" si="4"/>
        <v>535</v>
      </c>
      <c r="H66" s="302">
        <f t="shared" si="4"/>
        <v>0</v>
      </c>
      <c r="I66" s="302">
        <f t="shared" si="4"/>
        <v>0</v>
      </c>
      <c r="J66" s="302">
        <f t="shared" si="4"/>
        <v>10759</v>
      </c>
      <c r="K66" s="302"/>
      <c r="L66" s="302">
        <f>SUM(L68:L79)-L73</f>
        <v>0</v>
      </c>
      <c r="M66" s="302">
        <f>SUM(M68:M79)-M73</f>
        <v>0</v>
      </c>
      <c r="N66" s="302">
        <f>SUM(N68:N79)-N73</f>
        <v>8196</v>
      </c>
      <c r="O66" s="302">
        <f t="shared" ref="O66:P66" si="5">SUM(O68:O79)-O73</f>
        <v>0</v>
      </c>
      <c r="P66" s="302">
        <f t="shared" si="5"/>
        <v>0</v>
      </c>
      <c r="Q66" s="302">
        <f>SUM(Q67:Q70)</f>
        <v>860</v>
      </c>
    </row>
    <row r="67" spans="1:17" ht="21.95" customHeight="1">
      <c r="A67" s="304" t="s">
        <v>124</v>
      </c>
      <c r="B67" s="303" t="s">
        <v>228</v>
      </c>
      <c r="C67" s="302">
        <f t="shared" ref="C67:C77" si="6">SUM(D67:Q67)</f>
        <v>860</v>
      </c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>
        <v>860</v>
      </c>
    </row>
    <row r="68" spans="1:17" ht="21.95" customHeight="1">
      <c r="A68" s="304" t="s">
        <v>124</v>
      </c>
      <c r="B68" s="307" t="s">
        <v>104</v>
      </c>
      <c r="C68" s="302">
        <f t="shared" si="6"/>
        <v>7796</v>
      </c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>
        <f>3796+4000</f>
        <v>7796</v>
      </c>
      <c r="O68" s="302"/>
      <c r="P68" s="302"/>
      <c r="Q68" s="302"/>
    </row>
    <row r="69" spans="1:17" ht="21.95" customHeight="1">
      <c r="A69" s="304" t="s">
        <v>124</v>
      </c>
      <c r="B69" s="307" t="s">
        <v>103</v>
      </c>
      <c r="C69" s="302">
        <f t="shared" si="6"/>
        <v>200</v>
      </c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8">
        <v>200</v>
      </c>
      <c r="O69" s="308"/>
      <c r="P69" s="302"/>
      <c r="Q69" s="302"/>
    </row>
    <row r="70" spans="1:17" ht="21.95" customHeight="1">
      <c r="A70" s="304" t="s">
        <v>124</v>
      </c>
      <c r="B70" s="307" t="s">
        <v>125</v>
      </c>
      <c r="C70" s="302">
        <f t="shared" si="6"/>
        <v>200</v>
      </c>
      <c r="D70" s="302"/>
      <c r="E70" s="302"/>
      <c r="F70" s="302"/>
      <c r="G70" s="302"/>
      <c r="H70" s="302"/>
      <c r="I70" s="302"/>
      <c r="J70" s="302"/>
      <c r="K70" s="302"/>
      <c r="L70" s="302"/>
      <c r="M70" s="302"/>
      <c r="N70" s="308">
        <v>200</v>
      </c>
      <c r="O70" s="308"/>
      <c r="P70" s="302"/>
      <c r="Q70" s="302"/>
    </row>
    <row r="71" spans="1:17" ht="21.95" customHeight="1">
      <c r="A71" s="304" t="s">
        <v>124</v>
      </c>
      <c r="B71" s="309" t="s">
        <v>265</v>
      </c>
      <c r="C71" s="302">
        <f t="shared" si="6"/>
        <v>2113</v>
      </c>
      <c r="D71" s="310"/>
      <c r="E71" s="310">
        <f>8804-E13-E40-611-69</f>
        <v>2113</v>
      </c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</row>
    <row r="72" spans="1:17" ht="21.95" customHeight="1">
      <c r="A72" s="304" t="s">
        <v>124</v>
      </c>
      <c r="B72" s="309" t="s">
        <v>255</v>
      </c>
      <c r="C72" s="302">
        <f t="shared" ref="C72" si="7">SUM(D72:Q72)</f>
        <v>479751</v>
      </c>
      <c r="D72" s="310">
        <v>479751</v>
      </c>
      <c r="E72" s="310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</row>
    <row r="73" spans="1:17" ht="21.95" customHeight="1">
      <c r="A73" s="304" t="s">
        <v>124</v>
      </c>
      <c r="B73" s="309" t="s">
        <v>186</v>
      </c>
      <c r="C73" s="302">
        <f>SUM(D73:Q73)</f>
        <v>10759</v>
      </c>
      <c r="D73" s="309"/>
      <c r="E73" s="309"/>
      <c r="F73" s="309"/>
      <c r="G73" s="309"/>
      <c r="H73" s="309"/>
      <c r="I73" s="309"/>
      <c r="J73" s="310">
        <f>SUM(J74:J78)</f>
        <v>10759</v>
      </c>
      <c r="K73" s="310"/>
      <c r="L73" s="309"/>
      <c r="M73" s="309"/>
      <c r="N73" s="309"/>
      <c r="O73" s="309"/>
      <c r="P73" s="309"/>
      <c r="Q73" s="309"/>
    </row>
    <row r="74" spans="1:17" ht="21.95" customHeight="1">
      <c r="A74" s="304" t="s">
        <v>184</v>
      </c>
      <c r="B74" s="309" t="s">
        <v>185</v>
      </c>
      <c r="C74" s="302">
        <f t="shared" si="6"/>
        <v>2320</v>
      </c>
      <c r="D74" s="309"/>
      <c r="E74" s="309"/>
      <c r="F74" s="309"/>
      <c r="G74" s="309"/>
      <c r="H74" s="309"/>
      <c r="I74" s="309"/>
      <c r="J74" s="310">
        <v>2320</v>
      </c>
      <c r="K74" s="310"/>
      <c r="L74" s="309"/>
      <c r="M74" s="309"/>
      <c r="N74" s="309"/>
      <c r="O74" s="309"/>
      <c r="P74" s="309"/>
      <c r="Q74" s="309"/>
    </row>
    <row r="75" spans="1:17" ht="21.95" customHeight="1">
      <c r="A75" s="304" t="s">
        <v>184</v>
      </c>
      <c r="B75" s="309" t="s">
        <v>251</v>
      </c>
      <c r="C75" s="302">
        <f t="shared" si="6"/>
        <v>1000</v>
      </c>
      <c r="D75" s="309"/>
      <c r="E75" s="309"/>
      <c r="F75" s="309"/>
      <c r="G75" s="309"/>
      <c r="H75" s="309"/>
      <c r="I75" s="309"/>
      <c r="J75" s="310">
        <v>1000</v>
      </c>
      <c r="K75" s="310"/>
      <c r="L75" s="309"/>
      <c r="M75" s="309"/>
      <c r="N75" s="309"/>
      <c r="O75" s="309"/>
      <c r="P75" s="309"/>
      <c r="Q75" s="309"/>
    </row>
    <row r="76" spans="1:17" ht="21.95" customHeight="1">
      <c r="A76" s="304" t="s">
        <v>184</v>
      </c>
      <c r="B76" s="309" t="s">
        <v>227</v>
      </c>
      <c r="C76" s="302">
        <f t="shared" si="6"/>
        <v>5000</v>
      </c>
      <c r="D76" s="309"/>
      <c r="E76" s="309"/>
      <c r="F76" s="309"/>
      <c r="G76" s="309"/>
      <c r="H76" s="309"/>
      <c r="I76" s="309"/>
      <c r="J76" s="310">
        <v>5000</v>
      </c>
      <c r="K76" s="310"/>
      <c r="L76" s="309"/>
      <c r="M76" s="309"/>
      <c r="N76" s="309"/>
      <c r="O76" s="309"/>
      <c r="P76" s="309"/>
      <c r="Q76" s="309"/>
    </row>
    <row r="77" spans="1:17" ht="21.95" customHeight="1">
      <c r="A77" s="304" t="s">
        <v>184</v>
      </c>
      <c r="B77" s="309" t="s">
        <v>238</v>
      </c>
      <c r="C77" s="302">
        <f t="shared" si="6"/>
        <v>800</v>
      </c>
      <c r="D77" s="309"/>
      <c r="E77" s="309"/>
      <c r="F77" s="309"/>
      <c r="G77" s="309"/>
      <c r="H77" s="309"/>
      <c r="I77" s="309"/>
      <c r="J77" s="310">
        <v>800</v>
      </c>
      <c r="K77" s="310"/>
      <c r="L77" s="309"/>
      <c r="M77" s="309"/>
      <c r="N77" s="309"/>
      <c r="O77" s="309"/>
      <c r="P77" s="309"/>
      <c r="Q77" s="309"/>
    </row>
    <row r="78" spans="1:17" ht="21.95" customHeight="1">
      <c r="A78" s="304" t="s">
        <v>184</v>
      </c>
      <c r="B78" s="309" t="s">
        <v>126</v>
      </c>
      <c r="C78" s="302">
        <f>SUM(D78:Q78)</f>
        <v>1639</v>
      </c>
      <c r="D78" s="309"/>
      <c r="E78" s="309"/>
      <c r="F78" s="309"/>
      <c r="G78" s="309"/>
      <c r="H78" s="309"/>
      <c r="I78" s="309"/>
      <c r="J78" s="310">
        <v>1639</v>
      </c>
      <c r="K78" s="310"/>
      <c r="L78" s="309"/>
      <c r="M78" s="309"/>
      <c r="N78" s="309"/>
      <c r="O78" s="309"/>
      <c r="P78" s="309"/>
      <c r="Q78" s="309"/>
    </row>
    <row r="79" spans="1:17" ht="33" customHeight="1">
      <c r="A79" s="304" t="s">
        <v>124</v>
      </c>
      <c r="B79" s="309" t="s">
        <v>237</v>
      </c>
      <c r="C79" s="302">
        <f>SUM(D79:Q79)</f>
        <v>535</v>
      </c>
      <c r="D79" s="309"/>
      <c r="E79" s="309"/>
      <c r="F79" s="309"/>
      <c r="G79" s="310">
        <v>535</v>
      </c>
      <c r="H79" s="310"/>
      <c r="I79" s="309"/>
      <c r="J79" s="310"/>
      <c r="K79" s="310"/>
      <c r="L79" s="309"/>
      <c r="M79" s="309"/>
      <c r="N79" s="309"/>
      <c r="O79" s="309"/>
      <c r="P79" s="309"/>
      <c r="Q79" s="310"/>
    </row>
    <row r="81" spans="3:3" ht="18" customHeight="1">
      <c r="C81" s="299"/>
    </row>
  </sheetData>
  <mergeCells count="25">
    <mergeCell ref="N1:Q1"/>
    <mergeCell ref="A3:Q3"/>
    <mergeCell ref="A4:Q4"/>
    <mergeCell ref="A5:Q5"/>
    <mergeCell ref="M9:M10"/>
    <mergeCell ref="N8:N10"/>
    <mergeCell ref="A7:A10"/>
    <mergeCell ref="B7:B10"/>
    <mergeCell ref="C7:C10"/>
    <mergeCell ref="D7:Q7"/>
    <mergeCell ref="D8:D10"/>
    <mergeCell ref="A2:Q2"/>
    <mergeCell ref="J8:J10"/>
    <mergeCell ref="O8:O10"/>
    <mergeCell ref="E8:E10"/>
    <mergeCell ref="F8:F10"/>
    <mergeCell ref="O6:Q6"/>
    <mergeCell ref="P8:P10"/>
    <mergeCell ref="Q8:Q10"/>
    <mergeCell ref="L9:L10"/>
    <mergeCell ref="G8:G10"/>
    <mergeCell ref="H8:H10"/>
    <mergeCell ref="I8:I10"/>
    <mergeCell ref="K8:M8"/>
    <mergeCell ref="K9:K10"/>
  </mergeCells>
  <printOptions horizontalCentered="1"/>
  <pageMargins left="0.3" right="0.3" top="0.5" bottom="0.5" header="0.31496062992126" footer="0.31496062992126"/>
  <pageSetup paperSize="9" scale="80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86"/>
  <sheetViews>
    <sheetView topLeftCell="A4" workbookViewId="0">
      <selection activeCell="A5" sqref="A5:G5"/>
    </sheetView>
  </sheetViews>
  <sheetFormatPr defaultColWidth="9.140625" defaultRowHeight="18"/>
  <cols>
    <col min="1" max="1" width="7.42578125" style="53" customWidth="1"/>
    <col min="2" max="2" width="54.85546875" style="53" customWidth="1"/>
    <col min="3" max="3" width="14.7109375" style="53" customWidth="1"/>
    <col min="4" max="4" width="16.7109375" style="110" customWidth="1"/>
    <col min="5" max="5" width="14.7109375" style="53" customWidth="1"/>
    <col min="6" max="6" width="13.7109375" style="53" customWidth="1"/>
    <col min="7" max="7" width="14.140625" style="53" customWidth="1"/>
    <col min="8" max="8" width="13.5703125" style="53" customWidth="1"/>
    <col min="9" max="9" width="9.140625" style="53"/>
    <col min="10" max="10" width="11.42578125" style="53" bestFit="1" customWidth="1"/>
    <col min="11" max="16384" width="9.140625" style="53"/>
  </cols>
  <sheetData>
    <row r="1" spans="1:17" ht="19.5" hidden="1" customHeight="1">
      <c r="A1" s="333" t="s">
        <v>61</v>
      </c>
      <c r="B1" s="333"/>
      <c r="D1" s="336" t="s">
        <v>60</v>
      </c>
      <c r="E1" s="336"/>
      <c r="F1" s="336"/>
      <c r="G1" s="66"/>
    </row>
    <row r="2" spans="1:17" ht="19.5" hidden="1" customHeight="1">
      <c r="A2" s="65"/>
      <c r="B2" s="65"/>
      <c r="D2" s="103"/>
      <c r="E2" s="54"/>
      <c r="F2" s="54"/>
      <c r="G2" s="54"/>
    </row>
    <row r="3" spans="1:17" ht="19.5" customHeight="1">
      <c r="A3" s="65"/>
      <c r="B3" s="65"/>
      <c r="D3" s="103"/>
      <c r="E3" s="341" t="s">
        <v>145</v>
      </c>
      <c r="F3" s="341"/>
      <c r="G3" s="341"/>
    </row>
    <row r="4" spans="1:17" ht="21.75" customHeight="1">
      <c r="A4" s="342" t="s">
        <v>287</v>
      </c>
      <c r="B4" s="342"/>
      <c r="C4" s="342"/>
      <c r="D4" s="342"/>
      <c r="E4" s="342"/>
      <c r="F4" s="342"/>
      <c r="G4" s="342"/>
    </row>
    <row r="5" spans="1:17" ht="25.5" customHeight="1">
      <c r="A5" s="327" t="s">
        <v>298</v>
      </c>
      <c r="B5" s="327"/>
      <c r="C5" s="327"/>
      <c r="D5" s="327"/>
      <c r="E5" s="327"/>
      <c r="F5" s="327"/>
      <c r="G5" s="327"/>
      <c r="H5" s="426"/>
      <c r="I5" s="426"/>
      <c r="J5" s="426"/>
      <c r="K5" s="426"/>
      <c r="L5" s="426"/>
      <c r="M5" s="426"/>
      <c r="N5" s="426"/>
      <c r="O5" s="426"/>
      <c r="P5" s="426"/>
      <c r="Q5" s="426"/>
    </row>
    <row r="6" spans="1:17" s="11" customFormat="1" ht="7.5" customHeight="1">
      <c r="A6" s="343"/>
      <c r="B6" s="343"/>
      <c r="C6" s="343"/>
      <c r="D6" s="343"/>
      <c r="E6" s="343"/>
      <c r="F6" s="343"/>
      <c r="G6" s="343"/>
    </row>
    <row r="7" spans="1:17" ht="22.5" customHeight="1">
      <c r="A7" s="76"/>
      <c r="B7" s="76"/>
      <c r="C7" s="76"/>
      <c r="D7" s="104"/>
      <c r="E7" s="339" t="s">
        <v>62</v>
      </c>
      <c r="F7" s="339"/>
      <c r="G7" s="339"/>
    </row>
    <row r="8" spans="1:17" s="56" customFormat="1" ht="23.25" customHeight="1">
      <c r="A8" s="334" t="s">
        <v>20</v>
      </c>
      <c r="B8" s="335" t="s">
        <v>5</v>
      </c>
      <c r="C8" s="335" t="s">
        <v>253</v>
      </c>
      <c r="D8" s="340" t="s">
        <v>271</v>
      </c>
      <c r="E8" s="335" t="s">
        <v>274</v>
      </c>
      <c r="F8" s="337" t="s">
        <v>157</v>
      </c>
      <c r="G8" s="338"/>
    </row>
    <row r="9" spans="1:17" s="57" customFormat="1" ht="36.75" customHeight="1">
      <c r="A9" s="334"/>
      <c r="B9" s="335"/>
      <c r="C9" s="335"/>
      <c r="D9" s="340"/>
      <c r="E9" s="335"/>
      <c r="F9" s="77" t="s">
        <v>158</v>
      </c>
      <c r="G9" s="78" t="s">
        <v>159</v>
      </c>
    </row>
    <row r="10" spans="1:17" s="57" customFormat="1" ht="25.5" customHeight="1">
      <c r="A10" s="84" t="s">
        <v>9</v>
      </c>
      <c r="B10" s="84" t="s">
        <v>10</v>
      </c>
      <c r="C10" s="125">
        <v>1</v>
      </c>
      <c r="D10" s="126">
        <v>2</v>
      </c>
      <c r="E10" s="84">
        <v>3</v>
      </c>
      <c r="F10" s="84">
        <v>4</v>
      </c>
      <c r="G10" s="84">
        <v>5</v>
      </c>
    </row>
    <row r="11" spans="1:17" s="57" customFormat="1" ht="24.75" customHeight="1">
      <c r="A11" s="79" t="s">
        <v>9</v>
      </c>
      <c r="B11" s="80" t="s">
        <v>63</v>
      </c>
      <c r="C11" s="247">
        <f>SUM(C12,C15,C18:C19)</f>
        <v>747064</v>
      </c>
      <c r="D11" s="247">
        <f>SUM(D12,D15,D18:D19)</f>
        <v>973874</v>
      </c>
      <c r="E11" s="81">
        <f>SUM(E12,E15,E18:E20)</f>
        <v>868690</v>
      </c>
      <c r="F11" s="81">
        <f>SUM(F12,F15,F18:F19)</f>
        <v>-173363</v>
      </c>
      <c r="G11" s="82">
        <f>E11/D11*100</f>
        <v>89.199424155486227</v>
      </c>
      <c r="H11" s="246">
        <f>C11-C21</f>
        <v>0</v>
      </c>
      <c r="J11" s="246"/>
    </row>
    <row r="12" spans="1:17" s="58" customFormat="1" ht="42.75" customHeight="1">
      <c r="A12" s="79" t="s">
        <v>11</v>
      </c>
      <c r="B12" s="83" t="s">
        <v>64</v>
      </c>
      <c r="C12" s="247">
        <f>SUM(C13:C14)</f>
        <v>63850</v>
      </c>
      <c r="D12" s="247">
        <f>SUM(D13:D14)</f>
        <v>69599</v>
      </c>
      <c r="E12" s="81">
        <f>SUM(E13:E14)</f>
        <v>62400</v>
      </c>
      <c r="F12" s="81">
        <f>SUM(F13:F14)</f>
        <v>-7199</v>
      </c>
      <c r="G12" s="82">
        <f>E12/D12*100</f>
        <v>89.656460581330194</v>
      </c>
      <c r="H12" s="62"/>
    </row>
    <row r="13" spans="1:17" s="57" customFormat="1" ht="27.75" customHeight="1">
      <c r="A13" s="84">
        <v>1</v>
      </c>
      <c r="B13" s="85" t="s">
        <v>65</v>
      </c>
      <c r="C13" s="248">
        <v>48850</v>
      </c>
      <c r="D13" s="249">
        <f>'[2]16-CK'!D10-'[2]16-CK'!D20</f>
        <v>52418</v>
      </c>
      <c r="E13" s="86">
        <f>'[2]16-CK'!F10-'[2]16-CK'!F20</f>
        <v>46800</v>
      </c>
      <c r="F13" s="86">
        <f>E13-D13</f>
        <v>-5618</v>
      </c>
      <c r="G13" s="87">
        <f t="shared" ref="G13:G19" si="0">E13/D13*100</f>
        <v>89.282307604258079</v>
      </c>
    </row>
    <row r="14" spans="1:17" s="57" customFormat="1" ht="27.75" customHeight="1">
      <c r="A14" s="84">
        <v>2</v>
      </c>
      <c r="B14" s="85" t="s">
        <v>66</v>
      </c>
      <c r="C14" s="248">
        <v>15000</v>
      </c>
      <c r="D14" s="249">
        <f>'[2]16-CK'!D20</f>
        <v>17181</v>
      </c>
      <c r="E14" s="86">
        <f>'[2]16-CK'!F20</f>
        <v>15600</v>
      </c>
      <c r="F14" s="86">
        <f>E14-D14</f>
        <v>-1581</v>
      </c>
      <c r="G14" s="87">
        <f t="shared" si="0"/>
        <v>90.797974506722539</v>
      </c>
    </row>
    <row r="15" spans="1:17" s="59" customFormat="1" ht="27.75" customHeight="1">
      <c r="A15" s="79" t="s">
        <v>16</v>
      </c>
      <c r="B15" s="83" t="s">
        <v>109</v>
      </c>
      <c r="C15" s="247">
        <v>683214</v>
      </c>
      <c r="D15" s="247">
        <f>SUM(D16:D17)</f>
        <v>769284</v>
      </c>
      <c r="E15" s="81">
        <f>SUM(E16:E17)</f>
        <v>738111</v>
      </c>
      <c r="F15" s="81">
        <f>SUM(F16:F17)</f>
        <v>-31173</v>
      </c>
      <c r="G15" s="82">
        <f t="shared" si="0"/>
        <v>95.947790412903416</v>
      </c>
      <c r="H15" s="282"/>
    </row>
    <row r="16" spans="1:17" s="58" customFormat="1" ht="27.75" customHeight="1">
      <c r="A16" s="125" t="s">
        <v>21</v>
      </c>
      <c r="B16" s="85" t="s">
        <v>246</v>
      </c>
      <c r="C16" s="86">
        <v>630104</v>
      </c>
      <c r="D16" s="106">
        <f>C16</f>
        <v>630104</v>
      </c>
      <c r="E16" s="416">
        <v>711251</v>
      </c>
      <c r="F16" s="86">
        <f>E16-D16</f>
        <v>81147</v>
      </c>
      <c r="G16" s="87">
        <f>E16/D16*100</f>
        <v>112.87835024059521</v>
      </c>
    </row>
    <row r="17" spans="1:9" s="58" customFormat="1" ht="27.75" customHeight="1">
      <c r="A17" s="125" t="s">
        <v>21</v>
      </c>
      <c r="B17" s="85" t="s">
        <v>247</v>
      </c>
      <c r="C17" s="86">
        <v>53110</v>
      </c>
      <c r="D17" s="198">
        <v>139180</v>
      </c>
      <c r="E17" s="86">
        <v>26860</v>
      </c>
      <c r="F17" s="86">
        <f>E17-D17</f>
        <v>-112320</v>
      </c>
      <c r="G17" s="87">
        <f t="shared" si="0"/>
        <v>19.298749820376489</v>
      </c>
    </row>
    <row r="18" spans="1:9" s="60" customFormat="1" ht="27.75" customHeight="1">
      <c r="A18" s="79" t="s">
        <v>19</v>
      </c>
      <c r="B18" s="83" t="s">
        <v>25</v>
      </c>
      <c r="C18" s="88"/>
      <c r="D18" s="107">
        <v>9040</v>
      </c>
      <c r="E18" s="88"/>
      <c r="F18" s="88">
        <f>E18-D18</f>
        <v>-9040</v>
      </c>
      <c r="G18" s="82">
        <f t="shared" si="0"/>
        <v>0</v>
      </c>
    </row>
    <row r="19" spans="1:9" s="60" customFormat="1" ht="27.75" customHeight="1">
      <c r="A19" s="79" t="s">
        <v>24</v>
      </c>
      <c r="B19" s="83" t="s">
        <v>27</v>
      </c>
      <c r="C19" s="88"/>
      <c r="D19" s="107">
        <v>125951</v>
      </c>
      <c r="E19" s="88"/>
      <c r="F19" s="88">
        <f>E19-D19</f>
        <v>-125951</v>
      </c>
      <c r="G19" s="82">
        <f t="shared" si="0"/>
        <v>0</v>
      </c>
      <c r="H19" s="199"/>
    </row>
    <row r="20" spans="1:9" s="60" customFormat="1" ht="43.5" customHeight="1">
      <c r="A20" s="79" t="s">
        <v>275</v>
      </c>
      <c r="B20" s="83" t="s">
        <v>296</v>
      </c>
      <c r="C20" s="88"/>
      <c r="D20" s="107"/>
      <c r="E20" s="88">
        <v>68179</v>
      </c>
      <c r="F20" s="88"/>
      <c r="G20" s="82"/>
      <c r="H20" s="199"/>
    </row>
    <row r="21" spans="1:9" s="60" customFormat="1" ht="27" customHeight="1">
      <c r="A21" s="79" t="s">
        <v>10</v>
      </c>
      <c r="B21" s="80" t="s">
        <v>67</v>
      </c>
      <c r="C21" s="81">
        <v>747064</v>
      </c>
      <c r="D21" s="105">
        <f>D22+D27+D30+D31</f>
        <v>949158</v>
      </c>
      <c r="E21" s="81">
        <f>E22+E27+E30</f>
        <v>864690</v>
      </c>
      <c r="F21" s="81">
        <f t="shared" ref="F21" si="1">F22+F27+F30</f>
        <v>250568</v>
      </c>
      <c r="G21" s="82">
        <f t="shared" ref="G21" si="2">E21/C21*100</f>
        <v>115.74510349849545</v>
      </c>
      <c r="H21" s="199">
        <f>E21-E22</f>
        <v>26860</v>
      </c>
      <c r="I21" s="199"/>
    </row>
    <row r="22" spans="1:9" s="60" customFormat="1" ht="27" customHeight="1">
      <c r="A22" s="79" t="s">
        <v>11</v>
      </c>
      <c r="B22" s="83" t="s">
        <v>68</v>
      </c>
      <c r="C22" s="81">
        <v>693954</v>
      </c>
      <c r="D22" s="105">
        <f>SUM(D23:D26)</f>
        <v>675171</v>
      </c>
      <c r="E22" s="81">
        <f>SUM(E23:E26)</f>
        <v>837830</v>
      </c>
      <c r="F22" s="81">
        <f>SUM(F23:F25)</f>
        <v>138432</v>
      </c>
      <c r="G22" s="82">
        <f>E22/C22*100</f>
        <v>120.73278632301276</v>
      </c>
      <c r="H22" s="199"/>
    </row>
    <row r="23" spans="1:9" ht="27" customHeight="1">
      <c r="A23" s="84">
        <v>1</v>
      </c>
      <c r="B23" s="89" t="s">
        <v>28</v>
      </c>
      <c r="C23" s="86">
        <v>48312</v>
      </c>
      <c r="D23" s="106">
        <v>48312</v>
      </c>
      <c r="E23" s="86">
        <v>51407</v>
      </c>
      <c r="F23" s="86">
        <f>E23-C23</f>
        <v>3095</v>
      </c>
      <c r="G23" s="87">
        <f>E23/C23*100</f>
        <v>106.40627587348899</v>
      </c>
    </row>
    <row r="24" spans="1:9" s="58" customFormat="1" ht="27" customHeight="1">
      <c r="A24" s="84">
        <v>2</v>
      </c>
      <c r="B24" s="85" t="s">
        <v>3</v>
      </c>
      <c r="C24" s="86">
        <v>624339</v>
      </c>
      <c r="D24" s="106">
        <v>618299</v>
      </c>
      <c r="E24" s="86">
        <f>769917-E26</f>
        <v>756777</v>
      </c>
      <c r="F24" s="86">
        <f t="shared" ref="F24" si="3">E24-C24</f>
        <v>132438</v>
      </c>
      <c r="G24" s="87">
        <f t="shared" ref="G24" si="4">E24/C24*100</f>
        <v>121.21251435518204</v>
      </c>
      <c r="H24" s="62"/>
    </row>
    <row r="25" spans="1:9" s="58" customFormat="1" ht="27" customHeight="1">
      <c r="A25" s="84">
        <v>3</v>
      </c>
      <c r="B25" s="85" t="s">
        <v>6</v>
      </c>
      <c r="C25" s="86">
        <v>13607</v>
      </c>
      <c r="D25" s="106">
        <v>864</v>
      </c>
      <c r="E25" s="86">
        <v>16506</v>
      </c>
      <c r="F25" s="86">
        <f>E25-C25</f>
        <v>2899</v>
      </c>
      <c r="G25" s="87">
        <f>E25/C25*100</f>
        <v>121.30521055339163</v>
      </c>
    </row>
    <row r="26" spans="1:9" s="58" customFormat="1" ht="27" customHeight="1">
      <c r="A26" s="84">
        <v>4</v>
      </c>
      <c r="B26" s="111" t="s">
        <v>192</v>
      </c>
      <c r="C26" s="86">
        <v>7696</v>
      </c>
      <c r="D26" s="106">
        <v>7696</v>
      </c>
      <c r="E26" s="86">
        <v>13140</v>
      </c>
      <c r="F26" s="86">
        <v>1038</v>
      </c>
      <c r="G26" s="87">
        <f t="shared" ref="G26:G29" si="5">E26/C26*100</f>
        <v>170.73804573804574</v>
      </c>
    </row>
    <row r="27" spans="1:9" s="63" customFormat="1" ht="27" customHeight="1">
      <c r="A27" s="79" t="s">
        <v>16</v>
      </c>
      <c r="B27" s="83" t="s">
        <v>29</v>
      </c>
      <c r="C27" s="88">
        <v>53110</v>
      </c>
      <c r="D27" s="107">
        <f>D28+D29</f>
        <v>138996</v>
      </c>
      <c r="E27" s="88">
        <f>E28+E29</f>
        <v>26860</v>
      </c>
      <c r="F27" s="88">
        <f t="shared" ref="F27" si="6">D27-E27</f>
        <v>112136</v>
      </c>
      <c r="G27" s="82">
        <f t="shared" si="5"/>
        <v>50.574279796648469</v>
      </c>
    </row>
    <row r="28" spans="1:9" s="63" customFormat="1" ht="27" customHeight="1">
      <c r="A28" s="84">
        <v>1</v>
      </c>
      <c r="B28" s="85" t="s">
        <v>30</v>
      </c>
      <c r="C28" s="86"/>
      <c r="D28" s="86">
        <v>57126</v>
      </c>
      <c r="E28" s="86"/>
      <c r="F28" s="86"/>
      <c r="G28" s="87"/>
    </row>
    <row r="29" spans="1:9" s="63" customFormat="1" ht="27" customHeight="1">
      <c r="A29" s="84">
        <v>2</v>
      </c>
      <c r="B29" s="85" t="s">
        <v>31</v>
      </c>
      <c r="C29" s="86">
        <v>53110</v>
      </c>
      <c r="D29" s="86">
        <v>81870</v>
      </c>
      <c r="E29" s="86">
        <v>26860</v>
      </c>
      <c r="F29" s="86">
        <f>E29-C29</f>
        <v>-26250</v>
      </c>
      <c r="G29" s="87">
        <f t="shared" si="5"/>
        <v>50.574279796648469</v>
      </c>
      <c r="H29" s="281"/>
    </row>
    <row r="30" spans="1:9" s="63" customFormat="1" ht="27" customHeight="1">
      <c r="A30" s="79" t="s">
        <v>18</v>
      </c>
      <c r="B30" s="83" t="s">
        <v>248</v>
      </c>
      <c r="C30" s="88"/>
      <c r="D30" s="88">
        <v>125951</v>
      </c>
      <c r="E30" s="88"/>
      <c r="F30" s="88"/>
      <c r="G30" s="87"/>
    </row>
    <row r="31" spans="1:9" s="63" customFormat="1" ht="27" customHeight="1">
      <c r="A31" s="79" t="s">
        <v>19</v>
      </c>
      <c r="B31" s="83" t="s">
        <v>191</v>
      </c>
      <c r="C31" s="88"/>
      <c r="D31" s="88">
        <v>9040</v>
      </c>
      <c r="E31" s="88"/>
      <c r="F31" s="88"/>
      <c r="G31" s="87"/>
    </row>
    <row r="32" spans="1:9" ht="7.5" customHeight="1">
      <c r="C32" s="64"/>
      <c r="D32" s="108"/>
      <c r="E32" s="61"/>
    </row>
    <row r="33" spans="3:5" ht="18" customHeight="1">
      <c r="C33" s="61"/>
      <c r="D33" s="109"/>
      <c r="E33" s="61"/>
    </row>
    <row r="34" spans="3:5" ht="18" customHeight="1">
      <c r="C34" s="61"/>
      <c r="D34" s="109"/>
      <c r="E34" s="61"/>
    </row>
    <row r="35" spans="3:5" ht="18" customHeight="1">
      <c r="C35" s="61"/>
      <c r="D35" s="109"/>
      <c r="E35" s="61"/>
    </row>
    <row r="36" spans="3:5" ht="18" customHeight="1">
      <c r="C36" s="61"/>
      <c r="D36" s="109"/>
      <c r="E36" s="61"/>
    </row>
    <row r="37" spans="3:5" ht="18" customHeight="1">
      <c r="C37" s="61"/>
      <c r="D37" s="109"/>
      <c r="E37" s="61"/>
    </row>
    <row r="38" spans="3:5" ht="18" customHeight="1">
      <c r="C38" s="61"/>
      <c r="D38" s="109"/>
      <c r="E38" s="61"/>
    </row>
    <row r="39" spans="3:5" ht="18" customHeight="1">
      <c r="C39" s="61"/>
      <c r="D39" s="109"/>
      <c r="E39" s="61"/>
    </row>
    <row r="40" spans="3:5" ht="18" customHeight="1">
      <c r="C40" s="61"/>
      <c r="D40" s="109"/>
      <c r="E40" s="61"/>
    </row>
    <row r="41" spans="3:5" ht="18" customHeight="1">
      <c r="C41" s="61"/>
      <c r="D41" s="109"/>
      <c r="E41" s="61"/>
    </row>
    <row r="42" spans="3:5" ht="18" customHeight="1">
      <c r="C42" s="61"/>
      <c r="D42" s="109"/>
      <c r="E42" s="61"/>
    </row>
    <row r="43" spans="3:5" ht="18" customHeight="1">
      <c r="C43" s="61"/>
      <c r="D43" s="109"/>
      <c r="E43" s="61"/>
    </row>
    <row r="44" spans="3:5" ht="18" customHeight="1">
      <c r="C44" s="61"/>
      <c r="D44" s="109"/>
      <c r="E44" s="61"/>
    </row>
    <row r="45" spans="3:5" ht="18" customHeight="1">
      <c r="C45" s="61"/>
      <c r="D45" s="109"/>
      <c r="E45" s="61"/>
    </row>
    <row r="46" spans="3:5" ht="18" customHeight="1">
      <c r="C46" s="61"/>
      <c r="D46" s="109"/>
      <c r="E46" s="61"/>
    </row>
    <row r="47" spans="3:5" ht="18" customHeight="1">
      <c r="C47" s="61"/>
      <c r="D47" s="109"/>
      <c r="E47" s="61"/>
    </row>
    <row r="48" spans="3:5" ht="18" customHeight="1">
      <c r="C48" s="61"/>
      <c r="D48" s="109"/>
      <c r="E48" s="61"/>
    </row>
    <row r="49" spans="3:5" ht="18" customHeight="1">
      <c r="C49" s="61"/>
      <c r="D49" s="109"/>
      <c r="E49" s="61"/>
    </row>
    <row r="50" spans="3:5" ht="18" customHeight="1">
      <c r="C50" s="61"/>
      <c r="D50" s="109"/>
      <c r="E50" s="61"/>
    </row>
    <row r="51" spans="3:5" ht="18" customHeight="1">
      <c r="C51" s="61"/>
      <c r="D51" s="109"/>
      <c r="E51" s="61"/>
    </row>
    <row r="52" spans="3:5" ht="18" customHeight="1">
      <c r="C52" s="61"/>
      <c r="D52" s="109"/>
      <c r="E52" s="61"/>
    </row>
    <row r="53" spans="3:5" ht="18" customHeight="1">
      <c r="C53" s="61"/>
      <c r="D53" s="109"/>
      <c r="E53" s="61"/>
    </row>
    <row r="54" spans="3:5" ht="18" customHeight="1">
      <c r="C54" s="61"/>
      <c r="D54" s="109"/>
      <c r="E54" s="61"/>
    </row>
    <row r="55" spans="3:5" ht="18" customHeight="1">
      <c r="C55" s="61"/>
      <c r="D55" s="109"/>
      <c r="E55" s="61"/>
    </row>
    <row r="56" spans="3:5" ht="18" customHeight="1">
      <c r="C56" s="61"/>
      <c r="D56" s="109"/>
      <c r="E56" s="61"/>
    </row>
    <row r="57" spans="3:5" ht="18" customHeight="1">
      <c r="C57" s="61"/>
      <c r="D57" s="109"/>
      <c r="E57" s="61"/>
    </row>
    <row r="58" spans="3:5" ht="18" customHeight="1">
      <c r="C58" s="61"/>
      <c r="D58" s="109"/>
      <c r="E58" s="61"/>
    </row>
    <row r="59" spans="3:5" ht="18" customHeight="1">
      <c r="C59" s="61"/>
      <c r="D59" s="109"/>
      <c r="E59" s="61"/>
    </row>
    <row r="60" spans="3:5" ht="18" customHeight="1">
      <c r="C60" s="61"/>
      <c r="D60" s="109"/>
      <c r="E60" s="61"/>
    </row>
    <row r="61" spans="3:5" ht="18" customHeight="1">
      <c r="C61" s="61"/>
      <c r="D61" s="109"/>
      <c r="E61" s="61"/>
    </row>
    <row r="62" spans="3:5" ht="18" customHeight="1">
      <c r="C62" s="61"/>
      <c r="D62" s="109"/>
      <c r="E62" s="61"/>
    </row>
    <row r="63" spans="3:5" ht="18" customHeight="1">
      <c r="C63" s="61"/>
      <c r="D63" s="109"/>
      <c r="E63" s="61"/>
    </row>
    <row r="64" spans="3:5" ht="18" customHeight="1">
      <c r="C64" s="61"/>
      <c r="D64" s="109"/>
      <c r="E64" s="61"/>
    </row>
    <row r="65" spans="3:5" ht="18" customHeight="1">
      <c r="C65" s="61"/>
      <c r="D65" s="109"/>
      <c r="E65" s="61"/>
    </row>
    <row r="66" spans="3:5" ht="18" customHeight="1">
      <c r="C66" s="61"/>
      <c r="D66" s="109"/>
      <c r="E66" s="61"/>
    </row>
    <row r="67" spans="3:5" ht="18" customHeight="1">
      <c r="C67" s="61"/>
      <c r="D67" s="109"/>
      <c r="E67" s="61"/>
    </row>
    <row r="68" spans="3:5" ht="18" customHeight="1">
      <c r="C68" s="61"/>
      <c r="D68" s="109"/>
      <c r="E68" s="61"/>
    </row>
    <row r="69" spans="3:5" ht="18" customHeight="1">
      <c r="C69" s="61"/>
      <c r="D69" s="109"/>
      <c r="E69" s="61"/>
    </row>
    <row r="70" spans="3:5" ht="18" customHeight="1">
      <c r="C70" s="61"/>
      <c r="D70" s="109"/>
      <c r="E70" s="61"/>
    </row>
    <row r="71" spans="3:5" ht="18" customHeight="1"/>
    <row r="72" spans="3:5" ht="18" customHeight="1"/>
    <row r="73" spans="3:5" ht="18" customHeight="1"/>
    <row r="74" spans="3:5" ht="18" customHeight="1"/>
    <row r="75" spans="3:5" ht="18" customHeight="1"/>
    <row r="76" spans="3:5" ht="18" customHeight="1"/>
    <row r="77" spans="3:5" ht="18" customHeight="1"/>
    <row r="78" spans="3:5" ht="18" customHeight="1"/>
    <row r="79" spans="3:5" ht="18" customHeight="1"/>
    <row r="80" spans="3:5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</sheetData>
  <mergeCells count="13">
    <mergeCell ref="A1:B1"/>
    <mergeCell ref="A8:A9"/>
    <mergeCell ref="C8:C9"/>
    <mergeCell ref="D1:F1"/>
    <mergeCell ref="F8:G8"/>
    <mergeCell ref="E7:G7"/>
    <mergeCell ref="B8:B9"/>
    <mergeCell ref="E8:E9"/>
    <mergeCell ref="D8:D9"/>
    <mergeCell ref="E3:G3"/>
    <mergeCell ref="A4:G4"/>
    <mergeCell ref="A5:G5"/>
    <mergeCell ref="A6:G6"/>
  </mergeCells>
  <phoneticPr fontId="3" type="noConversion"/>
  <printOptions horizontalCentered="1"/>
  <pageMargins left="0.5" right="0.5" top="0.5" bottom="0.5" header="0.23622047244094499" footer="0.23622047244094499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89"/>
  <sheetViews>
    <sheetView topLeftCell="A3" workbookViewId="0">
      <selection activeCell="J24" sqref="J24"/>
    </sheetView>
  </sheetViews>
  <sheetFormatPr defaultColWidth="9.140625" defaultRowHeight="18.75"/>
  <cols>
    <col min="1" max="1" width="7.42578125" style="11" customWidth="1"/>
    <col min="2" max="2" width="51.42578125" style="11" customWidth="1"/>
    <col min="3" max="3" width="15.5703125" style="184" customWidth="1"/>
    <col min="4" max="4" width="16.28515625" style="184" customWidth="1"/>
    <col min="5" max="5" width="14.7109375" style="184" customWidth="1"/>
    <col min="6" max="7" width="14.7109375" style="11" customWidth="1"/>
    <col min="8" max="8" width="11.42578125" style="11" bestFit="1" customWidth="1"/>
    <col min="9" max="9" width="12.7109375" style="11" customWidth="1"/>
    <col min="10" max="16384" width="9.140625" style="11"/>
  </cols>
  <sheetData>
    <row r="1" spans="1:15" ht="18.75" hidden="1" customHeight="1">
      <c r="A1" s="333" t="s">
        <v>61</v>
      </c>
      <c r="B1" s="333"/>
      <c r="C1" s="250"/>
      <c r="D1" s="344" t="s">
        <v>69</v>
      </c>
      <c r="E1" s="344"/>
      <c r="F1" s="344"/>
      <c r="G1" s="344"/>
    </row>
    <row r="2" spans="1:15" ht="18.75" hidden="1" customHeight="1">
      <c r="A2" s="65"/>
      <c r="B2" s="65"/>
      <c r="C2" s="250"/>
      <c r="D2" s="180"/>
      <c r="E2" s="180"/>
      <c r="F2" s="67"/>
      <c r="G2" s="67"/>
    </row>
    <row r="3" spans="1:15" ht="18" customHeight="1">
      <c r="A3" s="272"/>
      <c r="B3" s="272"/>
      <c r="C3" s="251"/>
      <c r="D3" s="252"/>
      <c r="E3" s="353" t="s">
        <v>147</v>
      </c>
      <c r="F3" s="353"/>
      <c r="G3" s="353"/>
    </row>
    <row r="4" spans="1:15" ht="4.5" customHeight="1">
      <c r="A4" s="272"/>
      <c r="B4" s="272"/>
      <c r="C4" s="251"/>
      <c r="D4" s="252"/>
      <c r="E4" s="181"/>
      <c r="F4" s="181"/>
      <c r="G4" s="181"/>
    </row>
    <row r="5" spans="1:15" ht="30.75" customHeight="1">
      <c r="A5" s="345" t="s">
        <v>288</v>
      </c>
      <c r="B5" s="346"/>
      <c r="C5" s="346"/>
      <c r="D5" s="346"/>
      <c r="E5" s="346"/>
      <c r="F5" s="346"/>
      <c r="G5" s="346"/>
    </row>
    <row r="6" spans="1:15" ht="39" hidden="1" customHeight="1">
      <c r="A6" s="327" t="s">
        <v>74</v>
      </c>
      <c r="B6" s="352"/>
      <c r="C6" s="352"/>
      <c r="D6" s="352"/>
      <c r="E6" s="352"/>
      <c r="F6" s="352"/>
      <c r="G6" s="352"/>
    </row>
    <row r="7" spans="1:15" s="53" customFormat="1" ht="25.5" customHeight="1">
      <c r="A7" s="327" t="str">
        <f>'15-CK'!A5:G5</f>
        <v>(Kèm theo Báo cáo số  464/BC-UBND ngày   11  tháng   12   năm 2024 của Ủy ban nhân dân thị xã Vĩnh Châu)</v>
      </c>
      <c r="B7" s="327"/>
      <c r="C7" s="327"/>
      <c r="D7" s="327"/>
      <c r="E7" s="327"/>
      <c r="F7" s="327"/>
      <c r="G7" s="327"/>
      <c r="H7" s="55"/>
      <c r="I7" s="55"/>
      <c r="J7" s="55"/>
      <c r="K7" s="55"/>
      <c r="L7" s="55"/>
      <c r="M7" s="55"/>
      <c r="N7" s="55"/>
      <c r="O7" s="55"/>
    </row>
    <row r="8" spans="1:15" ht="7.5" customHeight="1">
      <c r="A8" s="349"/>
      <c r="B8" s="349"/>
      <c r="C8" s="349"/>
      <c r="D8" s="349"/>
      <c r="E8" s="349"/>
      <c r="F8" s="349"/>
      <c r="G8" s="349"/>
    </row>
    <row r="9" spans="1:15" ht="24" customHeight="1">
      <c r="A9" s="273"/>
      <c r="B9" s="273"/>
      <c r="C9" s="253"/>
      <c r="D9" s="254"/>
      <c r="E9" s="350" t="s">
        <v>1</v>
      </c>
      <c r="F9" s="350"/>
      <c r="G9" s="350"/>
    </row>
    <row r="10" spans="1:15" s="12" customFormat="1" ht="29.25" customHeight="1">
      <c r="A10" s="351" t="s">
        <v>20</v>
      </c>
      <c r="B10" s="340" t="s">
        <v>5</v>
      </c>
      <c r="C10" s="347" t="s">
        <v>253</v>
      </c>
      <c r="D10" s="340" t="s">
        <v>277</v>
      </c>
      <c r="E10" s="340" t="s">
        <v>274</v>
      </c>
      <c r="F10" s="340" t="s">
        <v>165</v>
      </c>
      <c r="G10" s="340"/>
    </row>
    <row r="11" spans="1:15" s="68" customFormat="1" ht="44.25" customHeight="1">
      <c r="A11" s="351"/>
      <c r="B11" s="340"/>
      <c r="C11" s="348"/>
      <c r="D11" s="351"/>
      <c r="E11" s="340"/>
      <c r="F11" s="129" t="s">
        <v>158</v>
      </c>
      <c r="G11" s="130" t="s">
        <v>159</v>
      </c>
    </row>
    <row r="12" spans="1:15" s="68" customFormat="1" ht="27.75" customHeight="1">
      <c r="A12" s="132" t="s">
        <v>9</v>
      </c>
      <c r="B12" s="132" t="s">
        <v>10</v>
      </c>
      <c r="C12" s="126">
        <v>1</v>
      </c>
      <c r="D12" s="132">
        <v>2</v>
      </c>
      <c r="E12" s="132">
        <v>3</v>
      </c>
      <c r="F12" s="132">
        <v>4</v>
      </c>
      <c r="G12" s="132">
        <v>5</v>
      </c>
    </row>
    <row r="13" spans="1:15" ht="27.75" customHeight="1">
      <c r="A13" s="133" t="s">
        <v>9</v>
      </c>
      <c r="B13" s="134" t="s">
        <v>70</v>
      </c>
      <c r="C13" s="135"/>
      <c r="D13" s="136"/>
      <c r="E13" s="136"/>
      <c r="F13" s="136"/>
      <c r="G13" s="137"/>
      <c r="I13" s="15">
        <f>C14-C22</f>
        <v>4926</v>
      </c>
    </row>
    <row r="14" spans="1:15" s="12" customFormat="1" ht="27.75" customHeight="1">
      <c r="A14" s="133" t="s">
        <v>11</v>
      </c>
      <c r="B14" s="134" t="s">
        <v>79</v>
      </c>
      <c r="C14" s="138">
        <f>SUM(C15:C16,C19:C20)</f>
        <v>747064</v>
      </c>
      <c r="D14" s="138">
        <f>SUM(D15:D16,D19:D20)</f>
        <v>973874</v>
      </c>
      <c r="E14" s="138">
        <f>SUM(E15:E16,E19:E21)</f>
        <v>868690</v>
      </c>
      <c r="F14" s="138">
        <f>E14-D14</f>
        <v>-105184</v>
      </c>
      <c r="G14" s="127">
        <f>E14/D14*100</f>
        <v>89.199424155486227</v>
      </c>
      <c r="I14" s="178"/>
    </row>
    <row r="15" spans="1:15" s="13" customFormat="1" ht="27.75" customHeight="1">
      <c r="A15" s="139">
        <v>1</v>
      </c>
      <c r="B15" s="140" t="s">
        <v>71</v>
      </c>
      <c r="C15" s="141">
        <v>63850</v>
      </c>
      <c r="D15" s="141">
        <f>'16-CK'!D10</f>
        <v>69599</v>
      </c>
      <c r="E15" s="141">
        <f>'15-CK'!E12</f>
        <v>62400</v>
      </c>
      <c r="F15" s="142">
        <f t="shared" ref="F15:F19" si="0">E15-D15</f>
        <v>-7199</v>
      </c>
      <c r="G15" s="143">
        <f>E15/D15*100</f>
        <v>89.656460581330194</v>
      </c>
      <c r="I15" s="205"/>
    </row>
    <row r="16" spans="1:15" s="13" customFormat="1" ht="27.75" customHeight="1">
      <c r="A16" s="139">
        <v>2</v>
      </c>
      <c r="B16" s="140" t="s">
        <v>75</v>
      </c>
      <c r="C16" s="142">
        <f>SUM(C17:C18)</f>
        <v>683214</v>
      </c>
      <c r="D16" s="142">
        <f>SUM(D17:D18)</f>
        <v>769284</v>
      </c>
      <c r="E16" s="142">
        <f>SUM(E17:E18)</f>
        <v>738111</v>
      </c>
      <c r="F16" s="142">
        <f t="shared" si="0"/>
        <v>-31173</v>
      </c>
      <c r="G16" s="143">
        <f t="shared" ref="G16:G20" si="1">E16/D16*100</f>
        <v>95.947790412903416</v>
      </c>
    </row>
    <row r="17" spans="1:10" ht="27.75" customHeight="1">
      <c r="A17" s="276" t="s">
        <v>21</v>
      </c>
      <c r="B17" s="140" t="s">
        <v>246</v>
      </c>
      <c r="C17" s="86">
        <v>630104</v>
      </c>
      <c r="D17" s="141">
        <f>C17</f>
        <v>630104</v>
      </c>
      <c r="E17" s="141">
        <f>'15-CK'!E16</f>
        <v>711251</v>
      </c>
      <c r="F17" s="142">
        <f t="shared" si="0"/>
        <v>81147</v>
      </c>
      <c r="G17" s="143">
        <f t="shared" si="1"/>
        <v>112.87835024059521</v>
      </c>
      <c r="I17" s="15"/>
    </row>
    <row r="18" spans="1:10" ht="27.75" customHeight="1">
      <c r="A18" s="276" t="s">
        <v>21</v>
      </c>
      <c r="B18" s="140" t="s">
        <v>247</v>
      </c>
      <c r="C18" s="86">
        <v>53110</v>
      </c>
      <c r="D18" s="141">
        <f>'15-CK'!D17</f>
        <v>139180</v>
      </c>
      <c r="E18" s="141">
        <f>'15-CK'!E17</f>
        <v>26860</v>
      </c>
      <c r="F18" s="142">
        <f t="shared" si="0"/>
        <v>-112320</v>
      </c>
      <c r="G18" s="143">
        <f t="shared" si="1"/>
        <v>19.298749820376489</v>
      </c>
      <c r="I18" s="15">
        <f>E14-E22</f>
        <v>4866</v>
      </c>
    </row>
    <row r="19" spans="1:10" s="12" customFormat="1" ht="27.75" customHeight="1">
      <c r="A19" s="139">
        <v>3</v>
      </c>
      <c r="B19" s="140" t="s">
        <v>25</v>
      </c>
      <c r="C19" s="141"/>
      <c r="D19" s="141">
        <f>'15-CK'!D18</f>
        <v>9040</v>
      </c>
      <c r="E19" s="141"/>
      <c r="F19" s="142">
        <f t="shared" si="0"/>
        <v>-9040</v>
      </c>
      <c r="G19" s="143">
        <f t="shared" si="1"/>
        <v>0</v>
      </c>
      <c r="H19" s="178"/>
      <c r="I19" s="178"/>
    </row>
    <row r="20" spans="1:10" s="12" customFormat="1" ht="27.75" customHeight="1">
      <c r="A20" s="139">
        <v>4</v>
      </c>
      <c r="B20" s="144" t="s">
        <v>27</v>
      </c>
      <c r="C20" s="141">
        <v>0</v>
      </c>
      <c r="D20" s="141">
        <f>'15-CK'!D19</f>
        <v>125951</v>
      </c>
      <c r="E20" s="141">
        <f>'[1]15-CK'!E21</f>
        <v>0</v>
      </c>
      <c r="F20" s="142">
        <f>E20-D20</f>
        <v>-125951</v>
      </c>
      <c r="G20" s="143">
        <f t="shared" si="1"/>
        <v>0</v>
      </c>
    </row>
    <row r="21" spans="1:10" s="12" customFormat="1" ht="27.75" customHeight="1">
      <c r="A21" s="139">
        <v>5</v>
      </c>
      <c r="B21" s="85" t="s">
        <v>276</v>
      </c>
      <c r="C21" s="141"/>
      <c r="D21" s="141"/>
      <c r="E21" s="86">
        <v>68179</v>
      </c>
      <c r="F21" s="142"/>
      <c r="G21" s="143"/>
    </row>
    <row r="22" spans="1:10" s="12" customFormat="1" ht="27.75" customHeight="1">
      <c r="A22" s="133" t="s">
        <v>16</v>
      </c>
      <c r="B22" s="134" t="s">
        <v>76</v>
      </c>
      <c r="C22" s="145">
        <f>SUM(C23:C24,C27,C28)</f>
        <v>742138</v>
      </c>
      <c r="D22" s="145">
        <f>SUM(D23:D24,D27,D28)</f>
        <v>949158</v>
      </c>
      <c r="E22" s="145">
        <f>SUM(E23:E24,E27)</f>
        <v>863824</v>
      </c>
      <c r="F22" s="145">
        <f>E22-C22</f>
        <v>121686</v>
      </c>
      <c r="G22" s="127">
        <f t="shared" ref="G22:G25" si="2">E22/C22*100</f>
        <v>116.39668094074148</v>
      </c>
      <c r="H22" s="178">
        <f>E14-E22</f>
        <v>4866</v>
      </c>
      <c r="I22" s="178" t="s">
        <v>254</v>
      </c>
      <c r="J22" s="178"/>
    </row>
    <row r="23" spans="1:10" s="12" customFormat="1" ht="27.75" customHeight="1">
      <c r="A23" s="139">
        <v>1</v>
      </c>
      <c r="B23" s="146" t="s">
        <v>72</v>
      </c>
      <c r="C23" s="141">
        <v>671291</v>
      </c>
      <c r="D23" s="141">
        <v>669346</v>
      </c>
      <c r="E23" s="141">
        <f>E14-E24-E31</f>
        <v>771405</v>
      </c>
      <c r="F23" s="141">
        <f t="shared" ref="F23:F27" si="3">E23-C23</f>
        <v>100114</v>
      </c>
      <c r="G23" s="143">
        <f>E23/C23*100</f>
        <v>114.91365145667081</v>
      </c>
      <c r="H23" s="178"/>
      <c r="I23" s="178"/>
    </row>
    <row r="24" spans="1:10" s="12" customFormat="1" ht="27.75" customHeight="1">
      <c r="A24" s="139">
        <v>2</v>
      </c>
      <c r="B24" s="140" t="s">
        <v>77</v>
      </c>
      <c r="C24" s="142">
        <f>SUM(C25:C26)</f>
        <v>70847</v>
      </c>
      <c r="D24" s="142">
        <f>SUM(D25:D26)</f>
        <v>144821</v>
      </c>
      <c r="E24" s="142">
        <f>SUM(E25:E26)</f>
        <v>92419</v>
      </c>
      <c r="F24" s="141">
        <f t="shared" si="3"/>
        <v>21572</v>
      </c>
      <c r="G24" s="147">
        <f t="shared" si="2"/>
        <v>130.44871342470395</v>
      </c>
      <c r="H24" s="178">
        <v>93410</v>
      </c>
      <c r="I24" s="178"/>
    </row>
    <row r="25" spans="1:10" s="13" customFormat="1" ht="27.75" customHeight="1">
      <c r="A25" s="276" t="s">
        <v>21</v>
      </c>
      <c r="B25" s="140" t="s">
        <v>260</v>
      </c>
      <c r="C25" s="141">
        <v>56146</v>
      </c>
      <c r="D25" s="141">
        <v>80272</v>
      </c>
      <c r="E25" s="141">
        <f>'39-CK'!G8</f>
        <v>82218</v>
      </c>
      <c r="F25" s="141">
        <f>E25-C25</f>
        <v>26072</v>
      </c>
      <c r="G25" s="143">
        <f t="shared" si="2"/>
        <v>146.43607736971467</v>
      </c>
      <c r="H25" s="205"/>
    </row>
    <row r="26" spans="1:10" s="13" customFormat="1" ht="27.75" customHeight="1">
      <c r="A26" s="276" t="s">
        <v>21</v>
      </c>
      <c r="B26" s="140" t="s">
        <v>261</v>
      </c>
      <c r="C26" s="141">
        <v>14701</v>
      </c>
      <c r="D26" s="141">
        <v>64549</v>
      </c>
      <c r="E26" s="141">
        <f>'42'!C9</f>
        <v>10201</v>
      </c>
      <c r="F26" s="141">
        <f t="shared" si="3"/>
        <v>-4500</v>
      </c>
      <c r="G26" s="143"/>
      <c r="H26" s="205"/>
    </row>
    <row r="27" spans="1:10" ht="27.75" customHeight="1">
      <c r="A27" s="139">
        <v>3</v>
      </c>
      <c r="B27" s="140" t="s">
        <v>248</v>
      </c>
      <c r="C27" s="141"/>
      <c r="D27" s="141">
        <f>D20</f>
        <v>125951</v>
      </c>
      <c r="E27" s="141"/>
      <c r="F27" s="150">
        <f t="shared" si="3"/>
        <v>0</v>
      </c>
      <c r="G27" s="143"/>
    </row>
    <row r="28" spans="1:10" ht="27.75" customHeight="1">
      <c r="A28" s="139">
        <v>4</v>
      </c>
      <c r="B28" s="140" t="s">
        <v>196</v>
      </c>
      <c r="C28" s="141"/>
      <c r="D28" s="141">
        <f>D19</f>
        <v>9040</v>
      </c>
      <c r="E28" s="141"/>
      <c r="F28" s="141"/>
      <c r="G28" s="143"/>
    </row>
    <row r="29" spans="1:10" s="12" customFormat="1" ht="27.75" customHeight="1">
      <c r="A29" s="133" t="s">
        <v>10</v>
      </c>
      <c r="B29" s="134" t="s">
        <v>78</v>
      </c>
      <c r="C29" s="138"/>
      <c r="D29" s="138"/>
      <c r="E29" s="138"/>
      <c r="F29" s="138"/>
      <c r="G29" s="127"/>
    </row>
    <row r="30" spans="1:10" s="12" customFormat="1" ht="27.75" customHeight="1">
      <c r="A30" s="133" t="s">
        <v>11</v>
      </c>
      <c r="B30" s="134" t="s">
        <v>79</v>
      </c>
      <c r="C30" s="138">
        <v>94450</v>
      </c>
      <c r="D30" s="138">
        <f>SUM(D31:D32,D35:D36)</f>
        <v>154574</v>
      </c>
      <c r="E30" s="138">
        <f>SUM(E31:E32,E35:E36)</f>
        <v>97285</v>
      </c>
      <c r="F30" s="138">
        <f>E30-D30</f>
        <v>-57289</v>
      </c>
      <c r="G30" s="148">
        <f>E30/D30*100</f>
        <v>62.937492721932543</v>
      </c>
      <c r="H30" s="178">
        <f>E30-H24</f>
        <v>3875</v>
      </c>
    </row>
    <row r="31" spans="1:10" s="14" customFormat="1" ht="27.75" customHeight="1">
      <c r="A31" s="139">
        <v>1</v>
      </c>
      <c r="B31" s="140" t="s">
        <v>2</v>
      </c>
      <c r="C31" s="141">
        <v>4926</v>
      </c>
      <c r="D31" s="141">
        <v>4926</v>
      </c>
      <c r="E31" s="141">
        <f>'39-CK'!D8</f>
        <v>4866</v>
      </c>
      <c r="F31" s="142">
        <f t="shared" ref="F31:F36" si="4">E31-D31</f>
        <v>-60</v>
      </c>
      <c r="G31" s="147">
        <f t="shared" ref="G31:G36" si="5">E31/D31*100</f>
        <v>98.781973203410473</v>
      </c>
      <c r="H31" s="179">
        <v>991</v>
      </c>
      <c r="I31" s="179"/>
    </row>
    <row r="32" spans="1:10" s="14" customFormat="1" ht="27.75" customHeight="1">
      <c r="A32" s="139">
        <v>2</v>
      </c>
      <c r="B32" s="140" t="s">
        <v>73</v>
      </c>
      <c r="C32" s="142">
        <v>89524</v>
      </c>
      <c r="D32" s="142">
        <f>D33+D34</f>
        <v>144821</v>
      </c>
      <c r="E32" s="142">
        <f>SUM(E33:E34)</f>
        <v>92419</v>
      </c>
      <c r="F32" s="142">
        <f t="shared" si="4"/>
        <v>-52402</v>
      </c>
      <c r="G32" s="147">
        <f t="shared" si="5"/>
        <v>63.816021157152626</v>
      </c>
      <c r="H32" s="179">
        <f>H30+H31</f>
        <v>4866</v>
      </c>
      <c r="I32" s="179"/>
    </row>
    <row r="33" spans="1:9" s="14" customFormat="1" ht="27.75" customHeight="1">
      <c r="A33" s="276" t="s">
        <v>21</v>
      </c>
      <c r="B33" s="140" t="s">
        <v>262</v>
      </c>
      <c r="C33" s="141">
        <v>80272</v>
      </c>
      <c r="D33" s="141">
        <v>80272</v>
      </c>
      <c r="E33" s="141">
        <f>E25</f>
        <v>82218</v>
      </c>
      <c r="F33" s="142">
        <f t="shared" si="4"/>
        <v>1946</v>
      </c>
      <c r="G33" s="147">
        <f t="shared" si="5"/>
        <v>102.42425752441697</v>
      </c>
      <c r="I33" s="179"/>
    </row>
    <row r="34" spans="1:9" s="14" customFormat="1" ht="27.75" customHeight="1">
      <c r="A34" s="276" t="s">
        <v>21</v>
      </c>
      <c r="B34" s="140" t="s">
        <v>247</v>
      </c>
      <c r="C34" s="141">
        <v>9252</v>
      </c>
      <c r="D34" s="141">
        <v>64549</v>
      </c>
      <c r="E34" s="141">
        <f>E26</f>
        <v>10201</v>
      </c>
      <c r="F34" s="142">
        <f t="shared" si="4"/>
        <v>-54348</v>
      </c>
      <c r="G34" s="147"/>
    </row>
    <row r="35" spans="1:9" s="14" customFormat="1" ht="27.75" customHeight="1">
      <c r="A35" s="139">
        <v>3</v>
      </c>
      <c r="B35" s="140" t="s">
        <v>25</v>
      </c>
      <c r="C35" s="141"/>
      <c r="D35" s="141">
        <v>2204</v>
      </c>
      <c r="E35" s="141"/>
      <c r="F35" s="142">
        <f t="shared" si="4"/>
        <v>-2204</v>
      </c>
      <c r="G35" s="150">
        <f t="shared" si="5"/>
        <v>0</v>
      </c>
    </row>
    <row r="36" spans="1:9" s="14" customFormat="1" ht="27.75" customHeight="1">
      <c r="A36" s="139">
        <v>4</v>
      </c>
      <c r="B36" s="144" t="s">
        <v>27</v>
      </c>
      <c r="C36" s="141"/>
      <c r="D36" s="141">
        <v>2623</v>
      </c>
      <c r="E36" s="141"/>
      <c r="F36" s="142">
        <f t="shared" si="4"/>
        <v>-2623</v>
      </c>
      <c r="G36" s="150">
        <f t="shared" si="5"/>
        <v>0</v>
      </c>
    </row>
    <row r="37" spans="1:9" s="14" customFormat="1" ht="27.75" customHeight="1">
      <c r="A37" s="133" t="s">
        <v>16</v>
      </c>
      <c r="B37" s="149" t="s">
        <v>76</v>
      </c>
      <c r="C37" s="145">
        <v>94450</v>
      </c>
      <c r="D37" s="145">
        <v>142981</v>
      </c>
      <c r="E37" s="145">
        <f>E30</f>
        <v>97285</v>
      </c>
      <c r="F37" s="145">
        <f>E37-C37</f>
        <v>2835</v>
      </c>
      <c r="G37" s="148">
        <f>E37/C37*100</f>
        <v>103.00158814187401</v>
      </c>
    </row>
    <row r="38" spans="1:9" ht="15.75" customHeight="1">
      <c r="A38" s="128"/>
      <c r="B38" s="128"/>
      <c r="C38" s="182"/>
      <c r="D38" s="182"/>
      <c r="E38" s="182"/>
      <c r="F38" s="131"/>
      <c r="G38" s="128"/>
    </row>
    <row r="39" spans="1:9" ht="18" customHeight="1">
      <c r="C39" s="183"/>
      <c r="D39" s="183"/>
      <c r="E39" s="183"/>
      <c r="F39" s="15"/>
    </row>
    <row r="40" spans="1:9" ht="18" customHeight="1">
      <c r="C40" s="183"/>
      <c r="D40" s="183"/>
      <c r="E40" s="183"/>
      <c r="F40" s="15"/>
    </row>
    <row r="41" spans="1:9" ht="18" customHeight="1">
      <c r="C41" s="183"/>
      <c r="D41" s="183"/>
      <c r="E41" s="183"/>
      <c r="F41" s="15"/>
    </row>
    <row r="42" spans="1:9" ht="18" customHeight="1">
      <c r="C42" s="183"/>
      <c r="D42" s="183"/>
      <c r="E42" s="183"/>
      <c r="F42" s="15"/>
    </row>
    <row r="43" spans="1:9" ht="18" customHeight="1">
      <c r="C43" s="183"/>
      <c r="D43" s="183"/>
      <c r="E43" s="183"/>
      <c r="F43" s="15"/>
    </row>
    <row r="44" spans="1:9" ht="18" customHeight="1">
      <c r="C44" s="183"/>
      <c r="D44" s="183"/>
      <c r="E44" s="183"/>
      <c r="F44" s="15"/>
    </row>
    <row r="45" spans="1:9" ht="18" customHeight="1">
      <c r="C45" s="183"/>
      <c r="D45" s="183"/>
      <c r="E45" s="183"/>
      <c r="F45" s="15"/>
    </row>
    <row r="46" spans="1:9" ht="18" customHeight="1">
      <c r="C46" s="183"/>
      <c r="D46" s="183"/>
      <c r="E46" s="183"/>
      <c r="F46" s="15"/>
    </row>
    <row r="47" spans="1:9" ht="18" customHeight="1">
      <c r="C47" s="183"/>
      <c r="D47" s="183"/>
      <c r="E47" s="183"/>
      <c r="F47" s="15"/>
    </row>
    <row r="48" spans="1:9" ht="18" customHeight="1">
      <c r="C48" s="183"/>
      <c r="D48" s="183"/>
      <c r="E48" s="183"/>
      <c r="F48" s="15"/>
    </row>
    <row r="49" spans="3:6" ht="18" customHeight="1">
      <c r="C49" s="183"/>
      <c r="D49" s="183"/>
      <c r="E49" s="183"/>
      <c r="F49" s="15"/>
    </row>
    <row r="50" spans="3:6" ht="18" customHeight="1">
      <c r="C50" s="183"/>
      <c r="D50" s="183"/>
      <c r="E50" s="183"/>
      <c r="F50" s="15"/>
    </row>
    <row r="51" spans="3:6" ht="18" customHeight="1">
      <c r="C51" s="183"/>
      <c r="D51" s="183"/>
      <c r="E51" s="183"/>
      <c r="F51" s="15"/>
    </row>
    <row r="52" spans="3:6" ht="18" customHeight="1">
      <c r="C52" s="183"/>
      <c r="D52" s="183"/>
      <c r="E52" s="183"/>
      <c r="F52" s="15"/>
    </row>
    <row r="53" spans="3:6" ht="18" customHeight="1">
      <c r="C53" s="183"/>
      <c r="D53" s="183"/>
      <c r="E53" s="183"/>
      <c r="F53" s="15"/>
    </row>
    <row r="54" spans="3:6" ht="18" customHeight="1">
      <c r="C54" s="183"/>
      <c r="D54" s="183"/>
      <c r="E54" s="183"/>
      <c r="F54" s="15"/>
    </row>
    <row r="55" spans="3:6" ht="18" customHeight="1">
      <c r="C55" s="183"/>
      <c r="D55" s="183"/>
      <c r="E55" s="183"/>
      <c r="F55" s="15"/>
    </row>
    <row r="56" spans="3:6" ht="18" customHeight="1">
      <c r="C56" s="183"/>
      <c r="D56" s="183"/>
      <c r="E56" s="183"/>
      <c r="F56" s="15"/>
    </row>
    <row r="57" spans="3:6" ht="18" customHeight="1">
      <c r="C57" s="183"/>
      <c r="D57" s="183"/>
      <c r="E57" s="183"/>
      <c r="F57" s="15"/>
    </row>
    <row r="58" spans="3:6" ht="18" customHeight="1">
      <c r="C58" s="183"/>
      <c r="D58" s="183"/>
      <c r="E58" s="183"/>
      <c r="F58" s="15"/>
    </row>
    <row r="59" spans="3:6" ht="18" customHeight="1">
      <c r="C59" s="183"/>
      <c r="D59" s="183"/>
      <c r="E59" s="183"/>
      <c r="F59" s="15"/>
    </row>
    <row r="60" spans="3:6" ht="18" customHeight="1">
      <c r="C60" s="183"/>
      <c r="D60" s="183"/>
      <c r="E60" s="183"/>
      <c r="F60" s="15"/>
    </row>
    <row r="61" spans="3:6" ht="18" customHeight="1">
      <c r="C61" s="183"/>
      <c r="D61" s="183"/>
      <c r="E61" s="183"/>
      <c r="F61" s="15"/>
    </row>
    <row r="62" spans="3:6" ht="18" customHeight="1">
      <c r="C62" s="183"/>
      <c r="D62" s="183"/>
      <c r="E62" s="183"/>
      <c r="F62" s="15"/>
    </row>
    <row r="63" spans="3:6" ht="18" customHeight="1">
      <c r="C63" s="183"/>
      <c r="D63" s="183"/>
      <c r="E63" s="183"/>
      <c r="F63" s="15"/>
    </row>
    <row r="64" spans="3:6" ht="18" customHeight="1">
      <c r="C64" s="183"/>
      <c r="D64" s="183"/>
      <c r="E64" s="183"/>
      <c r="F64" s="15"/>
    </row>
    <row r="65" spans="3:6" ht="18" customHeight="1">
      <c r="C65" s="183"/>
      <c r="D65" s="183"/>
      <c r="E65" s="183"/>
      <c r="F65" s="15"/>
    </row>
    <row r="66" spans="3:6" ht="18" customHeight="1">
      <c r="C66" s="183"/>
      <c r="D66" s="183"/>
      <c r="E66" s="183"/>
      <c r="F66" s="15"/>
    </row>
    <row r="67" spans="3:6" ht="18" customHeight="1">
      <c r="C67" s="183"/>
      <c r="D67" s="183"/>
      <c r="E67" s="183"/>
      <c r="F67" s="15"/>
    </row>
    <row r="68" spans="3:6" ht="18" customHeight="1">
      <c r="C68" s="183"/>
      <c r="D68" s="183"/>
      <c r="E68" s="183"/>
      <c r="F68" s="15"/>
    </row>
    <row r="69" spans="3:6" ht="18" customHeight="1">
      <c r="C69" s="183"/>
      <c r="D69" s="183"/>
      <c r="E69" s="183"/>
      <c r="F69" s="15"/>
    </row>
    <row r="70" spans="3:6" ht="18" customHeight="1">
      <c r="C70" s="183"/>
      <c r="D70" s="183"/>
      <c r="E70" s="183"/>
      <c r="F70" s="15"/>
    </row>
    <row r="71" spans="3:6" ht="18" customHeight="1">
      <c r="C71" s="183"/>
      <c r="D71" s="183"/>
      <c r="E71" s="183"/>
      <c r="F71" s="15"/>
    </row>
    <row r="72" spans="3:6" ht="18" customHeight="1">
      <c r="C72" s="183"/>
      <c r="D72" s="183"/>
      <c r="E72" s="183"/>
      <c r="F72" s="15"/>
    </row>
    <row r="73" spans="3:6" ht="18" customHeight="1">
      <c r="C73" s="183"/>
      <c r="D73" s="183"/>
      <c r="E73" s="183"/>
      <c r="F73" s="15"/>
    </row>
    <row r="74" spans="3:6" ht="18" customHeight="1"/>
    <row r="75" spans="3:6" ht="18" customHeight="1"/>
    <row r="76" spans="3:6" ht="18" customHeight="1"/>
    <row r="77" spans="3:6" ht="18" customHeight="1"/>
    <row r="78" spans="3:6" ht="18" customHeight="1"/>
    <row r="79" spans="3:6" ht="18" customHeight="1"/>
    <row r="80" spans="3: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mergeCells count="14">
    <mergeCell ref="D1:G1"/>
    <mergeCell ref="A1:B1"/>
    <mergeCell ref="A5:G5"/>
    <mergeCell ref="C10:C11"/>
    <mergeCell ref="A8:G8"/>
    <mergeCell ref="E10:E11"/>
    <mergeCell ref="E9:G9"/>
    <mergeCell ref="A10:A11"/>
    <mergeCell ref="B10:B11"/>
    <mergeCell ref="A7:G7"/>
    <mergeCell ref="D10:D11"/>
    <mergeCell ref="A6:G6"/>
    <mergeCell ref="E3:G3"/>
    <mergeCell ref="F10:G10"/>
  </mergeCells>
  <phoneticPr fontId="3" type="noConversion"/>
  <printOptions horizontalCentered="1"/>
  <pageMargins left="0.5" right="0.5" top="0.5" bottom="0.5" header="0.23622047244094499" footer="0.23622047244094499"/>
  <pageSetup paperSize="9" orientation="landscape" r:id="rId1"/>
  <headerFooter alignWithMargins="0">
    <oddFooter>&amp;C&amp;"Times New Roman,Regular"&amp;12&amp;P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R31"/>
  <sheetViews>
    <sheetView workbookViewId="0">
      <selection activeCell="A4" sqref="A4:H4"/>
    </sheetView>
  </sheetViews>
  <sheetFormatPr defaultColWidth="9.140625" defaultRowHeight="16.5"/>
  <cols>
    <col min="1" max="1" width="5.85546875" style="116" customWidth="1"/>
    <col min="2" max="2" width="33.7109375" style="113" customWidth="1"/>
    <col min="3" max="4" width="9.140625" style="113" customWidth="1"/>
    <col min="5" max="5" width="9.7109375" style="113" customWidth="1"/>
    <col min="6" max="6" width="9.28515625" style="113" customWidth="1"/>
    <col min="7" max="7" width="9.140625" style="113" customWidth="1"/>
    <col min="8" max="8" width="8.7109375" style="113" customWidth="1"/>
    <col min="9" max="9" width="11.5703125" style="113" customWidth="1"/>
    <col min="10" max="16384" width="9.140625" style="113"/>
  </cols>
  <sheetData>
    <row r="1" spans="1:16" ht="25.5" customHeight="1">
      <c r="A1" s="112"/>
      <c r="B1" s="112"/>
      <c r="E1" s="114"/>
      <c r="F1" s="356" t="s">
        <v>146</v>
      </c>
      <c r="G1" s="356"/>
      <c r="H1" s="356"/>
    </row>
    <row r="2" spans="1:16" ht="26.25" customHeight="1">
      <c r="A2" s="363" t="s">
        <v>269</v>
      </c>
      <c r="B2" s="363"/>
      <c r="C2" s="363"/>
      <c r="D2" s="363"/>
      <c r="E2" s="363"/>
      <c r="F2" s="363"/>
      <c r="G2" s="363"/>
      <c r="H2" s="363"/>
    </row>
    <row r="3" spans="1:16" ht="36.75" hidden="1" customHeight="1">
      <c r="A3" s="361" t="s">
        <v>32</v>
      </c>
      <c r="B3" s="361"/>
      <c r="C3" s="361"/>
      <c r="D3" s="361"/>
      <c r="E3" s="361"/>
      <c r="F3" s="361"/>
      <c r="G3" s="361"/>
      <c r="H3" s="361"/>
    </row>
    <row r="4" spans="1:16" s="115" customFormat="1" ht="47.25" customHeight="1">
      <c r="A4" s="316" t="s">
        <v>297</v>
      </c>
      <c r="B4" s="316"/>
      <c r="C4" s="316"/>
      <c r="D4" s="316"/>
      <c r="E4" s="316"/>
      <c r="F4" s="316"/>
      <c r="G4" s="316"/>
      <c r="H4" s="316"/>
      <c r="I4" s="100"/>
      <c r="J4" s="100"/>
      <c r="K4" s="100"/>
      <c r="L4" s="100"/>
      <c r="M4" s="100"/>
      <c r="N4" s="100"/>
      <c r="O4" s="100"/>
      <c r="P4" s="100"/>
    </row>
    <row r="5" spans="1:16" ht="17.100000000000001" customHeight="1">
      <c r="C5" s="114"/>
      <c r="D5" s="114"/>
      <c r="E5" s="114"/>
      <c r="F5" s="362" t="s">
        <v>8</v>
      </c>
      <c r="G5" s="362"/>
      <c r="H5" s="362"/>
    </row>
    <row r="6" spans="1:16" ht="6.95" customHeight="1">
      <c r="C6" s="114"/>
      <c r="D6" s="114"/>
      <c r="E6" s="114"/>
      <c r="F6" s="114"/>
      <c r="G6" s="117"/>
      <c r="H6" s="117"/>
    </row>
    <row r="7" spans="1:16" s="118" customFormat="1" ht="43.15" customHeight="1">
      <c r="A7" s="359" t="s">
        <v>20</v>
      </c>
      <c r="B7" s="359" t="s">
        <v>5</v>
      </c>
      <c r="C7" s="357" t="s">
        <v>271</v>
      </c>
      <c r="D7" s="358"/>
      <c r="E7" s="357" t="s">
        <v>270</v>
      </c>
      <c r="F7" s="358"/>
      <c r="G7" s="357" t="s">
        <v>36</v>
      </c>
      <c r="H7" s="358"/>
    </row>
    <row r="8" spans="1:16" s="118" customFormat="1" ht="65.25" customHeight="1">
      <c r="A8" s="360"/>
      <c r="B8" s="360"/>
      <c r="C8" s="119" t="s">
        <v>33</v>
      </c>
      <c r="D8" s="119" t="s">
        <v>80</v>
      </c>
      <c r="E8" s="119" t="s">
        <v>33</v>
      </c>
      <c r="F8" s="119" t="s">
        <v>80</v>
      </c>
      <c r="G8" s="119" t="s">
        <v>33</v>
      </c>
      <c r="H8" s="119" t="s">
        <v>81</v>
      </c>
    </row>
    <row r="9" spans="1:16" s="118" customFormat="1" ht="30" customHeight="1">
      <c r="A9" s="21" t="s">
        <v>9</v>
      </c>
      <c r="B9" s="21" t="s">
        <v>10</v>
      </c>
      <c r="C9" s="21">
        <v>3</v>
      </c>
      <c r="D9" s="21">
        <v>4</v>
      </c>
      <c r="E9" s="21">
        <v>3</v>
      </c>
      <c r="F9" s="21">
        <v>4</v>
      </c>
      <c r="G9" s="21" t="s">
        <v>34</v>
      </c>
      <c r="H9" s="21" t="s">
        <v>35</v>
      </c>
    </row>
    <row r="10" spans="1:16" s="120" customFormat="1" ht="30" customHeight="1">
      <c r="A10" s="354" t="s">
        <v>33</v>
      </c>
      <c r="B10" s="355"/>
      <c r="C10" s="274">
        <f t="shared" ref="C10:D10" si="0">C11+C16+C17+C18+C19+C20+C21</f>
        <v>82358</v>
      </c>
      <c r="D10" s="274">
        <f t="shared" si="0"/>
        <v>69599</v>
      </c>
      <c r="E10" s="274">
        <f t="shared" ref="E10:F10" si="1">E11+E16+E17+E18+E19+E20+E21</f>
        <v>78900</v>
      </c>
      <c r="F10" s="274">
        <f t="shared" si="1"/>
        <v>62400</v>
      </c>
      <c r="G10" s="278">
        <f>E10/C10*100</f>
        <v>95.801257922727601</v>
      </c>
      <c r="H10" s="278">
        <f>F10/D10*100</f>
        <v>89.656460581330194</v>
      </c>
      <c r="I10" s="277"/>
    </row>
    <row r="11" spans="1:16" s="118" customFormat="1" ht="39.75" customHeight="1">
      <c r="A11" s="151">
        <v>1</v>
      </c>
      <c r="B11" s="152" t="s">
        <v>37</v>
      </c>
      <c r="C11" s="153">
        <f>SUM(C12:C16)</f>
        <v>22847</v>
      </c>
      <c r="D11" s="153">
        <f>SUM(D12:D15)</f>
        <v>22606</v>
      </c>
      <c r="E11" s="153">
        <f>SUM(E12:E16)</f>
        <v>17000</v>
      </c>
      <c r="F11" s="153">
        <f>SUM(F12:F15)</f>
        <v>17000</v>
      </c>
      <c r="G11" s="154">
        <f>E11/C11*100</f>
        <v>74.408018558235213</v>
      </c>
      <c r="H11" s="154">
        <f t="shared" ref="H11:H21" si="2">F11/D11*100</f>
        <v>75.201273998053622</v>
      </c>
    </row>
    <row r="12" spans="1:16" s="118" customFormat="1" ht="30" customHeight="1">
      <c r="A12" s="155" t="s">
        <v>21</v>
      </c>
      <c r="B12" s="152" t="s">
        <v>217</v>
      </c>
      <c r="C12" s="275">
        <v>2479</v>
      </c>
      <c r="D12" s="153">
        <v>2479</v>
      </c>
      <c r="E12" s="275">
        <v>3000</v>
      </c>
      <c r="F12" s="153">
        <f>E12</f>
        <v>3000</v>
      </c>
      <c r="G12" s="154">
        <f t="shared" ref="G12:G21" si="3">E12/C12*100</f>
        <v>121.0165389269867</v>
      </c>
      <c r="H12" s="154">
        <f t="shared" si="2"/>
        <v>121.0165389269867</v>
      </c>
    </row>
    <row r="13" spans="1:16" s="118" customFormat="1" ht="30" customHeight="1">
      <c r="A13" s="155" t="s">
        <v>21</v>
      </c>
      <c r="B13" s="152" t="s">
        <v>218</v>
      </c>
      <c r="C13" s="275">
        <v>20127</v>
      </c>
      <c r="D13" s="153">
        <v>20127</v>
      </c>
      <c r="E13" s="275">
        <v>14000</v>
      </c>
      <c r="F13" s="153">
        <f>E13</f>
        <v>14000</v>
      </c>
      <c r="G13" s="154">
        <f t="shared" si="3"/>
        <v>69.558304764743866</v>
      </c>
      <c r="H13" s="154">
        <f t="shared" si="2"/>
        <v>69.558304764743866</v>
      </c>
    </row>
    <row r="14" spans="1:16" s="118" customFormat="1" ht="30" customHeight="1">
      <c r="A14" s="155" t="s">
        <v>21</v>
      </c>
      <c r="B14" s="152" t="s">
        <v>219</v>
      </c>
      <c r="C14" s="153">
        <v>241</v>
      </c>
      <c r="D14" s="153"/>
      <c r="E14" s="153"/>
      <c r="F14" s="153"/>
      <c r="G14" s="154">
        <f t="shared" si="3"/>
        <v>0</v>
      </c>
      <c r="H14" s="154"/>
    </row>
    <row r="15" spans="1:16" s="118" customFormat="1" ht="30" customHeight="1">
      <c r="A15" s="155" t="s">
        <v>21</v>
      </c>
      <c r="B15" s="152" t="s">
        <v>220</v>
      </c>
      <c r="C15" s="153"/>
      <c r="D15" s="153"/>
      <c r="E15" s="153"/>
      <c r="F15" s="153"/>
      <c r="G15" s="154"/>
      <c r="H15" s="154"/>
    </row>
    <row r="16" spans="1:16" s="118" customFormat="1" ht="30" customHeight="1">
      <c r="A16" s="155" t="s">
        <v>21</v>
      </c>
      <c r="B16" s="152" t="s">
        <v>221</v>
      </c>
      <c r="C16" s="153"/>
      <c r="D16" s="153"/>
      <c r="E16" s="153"/>
      <c r="F16" s="153"/>
      <c r="G16" s="154"/>
      <c r="H16" s="154"/>
    </row>
    <row r="17" spans="1:18" s="118" customFormat="1" ht="30" customHeight="1">
      <c r="A17" s="151">
        <v>2</v>
      </c>
      <c r="B17" s="152" t="s">
        <v>39</v>
      </c>
      <c r="C17" s="153">
        <v>11710</v>
      </c>
      <c r="D17" s="153">
        <v>11710</v>
      </c>
      <c r="E17" s="153">
        <v>13000</v>
      </c>
      <c r="F17" s="153">
        <f t="shared" ref="F17:F18" si="4">E17</f>
        <v>13000</v>
      </c>
      <c r="G17" s="154">
        <f t="shared" si="3"/>
        <v>111.01622544833477</v>
      </c>
      <c r="H17" s="154">
        <f t="shared" ref="H17:H18" si="5">F17/D17*100</f>
        <v>111.01622544833477</v>
      </c>
    </row>
    <row r="18" spans="1:18" s="118" customFormat="1" ht="30" customHeight="1">
      <c r="A18" s="151">
        <v>3</v>
      </c>
      <c r="B18" s="152" t="s">
        <v>38</v>
      </c>
      <c r="C18" s="153">
        <v>15419</v>
      </c>
      <c r="D18" s="153">
        <v>15419</v>
      </c>
      <c r="E18" s="153">
        <v>13900</v>
      </c>
      <c r="F18" s="153">
        <f t="shared" si="4"/>
        <v>13900</v>
      </c>
      <c r="G18" s="154">
        <f t="shared" si="3"/>
        <v>90.148518062131132</v>
      </c>
      <c r="H18" s="154">
        <f t="shared" si="5"/>
        <v>90.148518062131132</v>
      </c>
    </row>
    <row r="19" spans="1:18" s="121" customFormat="1" ht="30" customHeight="1">
      <c r="A19" s="151">
        <v>4</v>
      </c>
      <c r="B19" s="152" t="s">
        <v>40</v>
      </c>
      <c r="C19" s="153">
        <v>2047</v>
      </c>
      <c r="D19" s="153">
        <v>983</v>
      </c>
      <c r="E19" s="153">
        <v>4000</v>
      </c>
      <c r="F19" s="153">
        <v>1300</v>
      </c>
      <c r="G19" s="154">
        <f t="shared" si="3"/>
        <v>195.40791402051784</v>
      </c>
      <c r="H19" s="154">
        <f t="shared" si="2"/>
        <v>132.24821973550357</v>
      </c>
      <c r="I19" s="118"/>
      <c r="J19" s="118"/>
      <c r="K19" s="118"/>
      <c r="L19" s="118"/>
      <c r="M19" s="118"/>
      <c r="N19" s="118"/>
      <c r="O19" s="118"/>
      <c r="P19" s="118"/>
      <c r="Q19" s="118"/>
      <c r="R19" s="118"/>
    </row>
    <row r="20" spans="1:18" s="118" customFormat="1" ht="30" customHeight="1">
      <c r="A20" s="151">
        <v>5</v>
      </c>
      <c r="B20" s="152" t="s">
        <v>82</v>
      </c>
      <c r="C20" s="153">
        <v>28635</v>
      </c>
      <c r="D20" s="153">
        <f>28635*0.6</f>
        <v>17181</v>
      </c>
      <c r="E20" s="153">
        <v>26000</v>
      </c>
      <c r="F20" s="153">
        <f>E20*0.6</f>
        <v>15600</v>
      </c>
      <c r="G20" s="154">
        <f t="shared" si="3"/>
        <v>90.797974506722539</v>
      </c>
      <c r="H20" s="154">
        <f t="shared" si="2"/>
        <v>90.797974506722539</v>
      </c>
    </row>
    <row r="21" spans="1:18" s="118" customFormat="1" ht="30" customHeight="1">
      <c r="A21" s="151">
        <v>6</v>
      </c>
      <c r="B21" s="152" t="s">
        <v>83</v>
      </c>
      <c r="C21" s="153">
        <v>1700</v>
      </c>
      <c r="D21" s="153">
        <v>1700</v>
      </c>
      <c r="E21" s="153">
        <v>5000</v>
      </c>
      <c r="F21" s="153">
        <v>1600</v>
      </c>
      <c r="G21" s="154">
        <f t="shared" si="3"/>
        <v>294.11764705882354</v>
      </c>
      <c r="H21" s="154">
        <f t="shared" si="2"/>
        <v>94.117647058823522</v>
      </c>
    </row>
    <row r="23" spans="1:18">
      <c r="C23" s="122"/>
    </row>
    <row r="25" spans="1:18">
      <c r="B25" s="123"/>
    </row>
    <row r="26" spans="1:18">
      <c r="B26" s="123"/>
    </row>
    <row r="27" spans="1:18">
      <c r="B27" s="123"/>
    </row>
    <row r="28" spans="1:18">
      <c r="B28" s="123"/>
    </row>
    <row r="29" spans="1:18">
      <c r="B29" s="123"/>
    </row>
    <row r="30" spans="1:18">
      <c r="B30" s="123"/>
    </row>
    <row r="31" spans="1:18">
      <c r="B31" s="123"/>
    </row>
  </sheetData>
  <mergeCells count="11">
    <mergeCell ref="A10:B10"/>
    <mergeCell ref="F1:H1"/>
    <mergeCell ref="C7:D7"/>
    <mergeCell ref="E7:F7"/>
    <mergeCell ref="A7:A8"/>
    <mergeCell ref="G7:H7"/>
    <mergeCell ref="A3:H3"/>
    <mergeCell ref="B7:B8"/>
    <mergeCell ref="F5:H5"/>
    <mergeCell ref="A4:H4"/>
    <mergeCell ref="A2:H2"/>
  </mergeCells>
  <phoneticPr fontId="0" type="noConversion"/>
  <printOptions horizontalCentered="1"/>
  <pageMargins left="0.3" right="0.3" top="0.5" bottom="0.5" header="0.15748031496063" footer="7.8740157480315001E-2"/>
  <pageSetup paperSize="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44"/>
  <sheetViews>
    <sheetView workbookViewId="0">
      <selection activeCell="A3" sqref="A3:F3"/>
    </sheetView>
  </sheetViews>
  <sheetFormatPr defaultColWidth="9.140625" defaultRowHeight="18" customHeight="1"/>
  <cols>
    <col min="1" max="1" width="6.42578125" style="98" customWidth="1"/>
    <col min="2" max="2" width="53.5703125" style="98" customWidth="1"/>
    <col min="3" max="3" width="13.7109375" style="98" customWidth="1"/>
    <col min="4" max="4" width="13.7109375" style="260" customWidth="1"/>
    <col min="5" max="5" width="13.42578125" style="98" customWidth="1"/>
    <col min="6" max="6" width="14.28515625" style="98" customWidth="1"/>
    <col min="7" max="7" width="10.5703125" style="98" bestFit="1" customWidth="1"/>
    <col min="8" max="8" width="12.42578125" style="98" customWidth="1"/>
    <col min="9" max="16384" width="9.140625" style="98"/>
  </cols>
  <sheetData>
    <row r="1" spans="1:15" ht="17.25" customHeight="1">
      <c r="E1" s="366" t="s">
        <v>177</v>
      </c>
      <c r="F1" s="366"/>
    </row>
    <row r="2" spans="1:15" s="195" customFormat="1" ht="24" customHeight="1">
      <c r="A2" s="363" t="s">
        <v>284</v>
      </c>
      <c r="B2" s="363"/>
      <c r="C2" s="363"/>
      <c r="D2" s="363"/>
      <c r="E2" s="363"/>
      <c r="F2" s="363"/>
    </row>
    <row r="3" spans="1:15" s="115" customFormat="1" ht="42.75" customHeight="1">
      <c r="A3" s="316" t="s">
        <v>297</v>
      </c>
      <c r="B3" s="316"/>
      <c r="C3" s="316"/>
      <c r="D3" s="316"/>
      <c r="E3" s="316"/>
      <c r="F3" s="316"/>
      <c r="G3" s="425"/>
      <c r="H3" s="425"/>
      <c r="I3" s="100"/>
      <c r="J3" s="100"/>
      <c r="K3" s="100"/>
      <c r="L3" s="100"/>
      <c r="M3" s="100"/>
      <c r="N3" s="100"/>
      <c r="O3" s="100"/>
    </row>
    <row r="4" spans="1:15" ht="23.25" customHeight="1">
      <c r="E4" s="367" t="s">
        <v>112</v>
      </c>
      <c r="F4" s="367"/>
    </row>
    <row r="5" spans="1:15" ht="23.25" customHeight="1">
      <c r="A5" s="423" t="s">
        <v>20</v>
      </c>
      <c r="B5" s="423" t="s">
        <v>5</v>
      </c>
      <c r="C5" s="421" t="s">
        <v>252</v>
      </c>
      <c r="D5" s="419" t="s">
        <v>270</v>
      </c>
      <c r="E5" s="417" t="s">
        <v>161</v>
      </c>
      <c r="F5" s="418"/>
    </row>
    <row r="6" spans="1:15" ht="38.25" customHeight="1">
      <c r="A6" s="424"/>
      <c r="B6" s="424"/>
      <c r="C6" s="422"/>
      <c r="D6" s="420"/>
      <c r="E6" s="245" t="s">
        <v>158</v>
      </c>
      <c r="F6" s="245" t="s">
        <v>162</v>
      </c>
    </row>
    <row r="7" spans="1:15" ht="28.5" customHeight="1">
      <c r="A7" s="90" t="s">
        <v>9</v>
      </c>
      <c r="B7" s="90" t="s">
        <v>10</v>
      </c>
      <c r="C7" s="90">
        <v>1</v>
      </c>
      <c r="D7" s="261">
        <v>2</v>
      </c>
      <c r="E7" s="99" t="s">
        <v>164</v>
      </c>
      <c r="F7" s="99" t="s">
        <v>163</v>
      </c>
    </row>
    <row r="8" spans="1:15" s="195" customFormat="1" ht="28.5" customHeight="1">
      <c r="A8" s="364" t="s">
        <v>160</v>
      </c>
      <c r="B8" s="365"/>
      <c r="C8" s="1">
        <v>676217</v>
      </c>
      <c r="D8" s="1">
        <f>D9+D26</f>
        <v>776271</v>
      </c>
      <c r="E8" s="91">
        <f t="shared" ref="E8:E11" si="0">D8-C8</f>
        <v>100054</v>
      </c>
      <c r="F8" s="92">
        <f>D8/C8*100</f>
        <v>114.7961379261391</v>
      </c>
      <c r="G8" s="196">
        <f>'34'!D7</f>
        <v>868690</v>
      </c>
      <c r="H8" s="196">
        <f>G8-D8</f>
        <v>92419</v>
      </c>
      <c r="I8" s="195" t="s">
        <v>259</v>
      </c>
    </row>
    <row r="9" spans="1:15" s="195" customFormat="1" ht="28.5" customHeight="1">
      <c r="A9" s="245" t="s">
        <v>9</v>
      </c>
      <c r="B9" s="93" t="s">
        <v>133</v>
      </c>
      <c r="C9" s="262">
        <v>623107</v>
      </c>
      <c r="D9" s="262">
        <f>D10+D12+D24+D25</f>
        <v>749411</v>
      </c>
      <c r="E9" s="91">
        <f t="shared" si="0"/>
        <v>126304</v>
      </c>
      <c r="F9" s="92">
        <f t="shared" ref="F9:F22" si="1">D9/C9*100</f>
        <v>120.27003387861154</v>
      </c>
      <c r="G9" s="196"/>
      <c r="H9" s="196"/>
      <c r="I9" s="196"/>
    </row>
    <row r="10" spans="1:15" s="195" customFormat="1" ht="28.5" customHeight="1">
      <c r="A10" s="245" t="s">
        <v>11</v>
      </c>
      <c r="B10" s="93" t="s">
        <v>28</v>
      </c>
      <c r="C10" s="1">
        <v>48312</v>
      </c>
      <c r="D10" s="1">
        <f>D11</f>
        <v>51407</v>
      </c>
      <c r="E10" s="91">
        <f t="shared" si="0"/>
        <v>3095</v>
      </c>
      <c r="F10" s="92">
        <f t="shared" si="1"/>
        <v>106.40627587348899</v>
      </c>
      <c r="G10" s="196"/>
      <c r="I10" s="196"/>
    </row>
    <row r="11" spans="1:15" ht="28.5" customHeight="1">
      <c r="A11" s="90">
        <v>1</v>
      </c>
      <c r="B11" s="94" t="s">
        <v>41</v>
      </c>
      <c r="C11" s="95">
        <v>48312</v>
      </c>
      <c r="D11" s="185">
        <f>'15-CK'!E23</f>
        <v>51407</v>
      </c>
      <c r="E11" s="95">
        <f t="shared" si="0"/>
        <v>3095</v>
      </c>
      <c r="F11" s="97">
        <f t="shared" si="1"/>
        <v>106.40627587348899</v>
      </c>
    </row>
    <row r="12" spans="1:15" s="195" customFormat="1" ht="28.5" customHeight="1">
      <c r="A12" s="245" t="s">
        <v>16</v>
      </c>
      <c r="B12" s="93" t="s">
        <v>3</v>
      </c>
      <c r="C12" s="1">
        <v>553492</v>
      </c>
      <c r="D12" s="1">
        <f>SUM(D14:D23)</f>
        <v>668358</v>
      </c>
      <c r="E12" s="91">
        <f t="shared" ref="E12:E25" si="2">D12-C12</f>
        <v>114866</v>
      </c>
      <c r="F12" s="92">
        <f t="shared" si="1"/>
        <v>120.75296481249956</v>
      </c>
    </row>
    <row r="13" spans="1:15" ht="28.5" customHeight="1">
      <c r="A13" s="90"/>
      <c r="B13" s="96" t="s">
        <v>42</v>
      </c>
      <c r="C13" s="91"/>
      <c r="D13" s="185"/>
      <c r="E13" s="91"/>
      <c r="F13" s="92"/>
    </row>
    <row r="14" spans="1:15" s="100" customFormat="1" ht="28.5" customHeight="1">
      <c r="A14" s="90">
        <v>1</v>
      </c>
      <c r="B14" s="94" t="s">
        <v>43</v>
      </c>
      <c r="C14" s="95">
        <v>393905</v>
      </c>
      <c r="D14" s="185">
        <f>'34'!D29+'37'!E12</f>
        <v>487875</v>
      </c>
      <c r="E14" s="95">
        <f t="shared" si="2"/>
        <v>93970</v>
      </c>
      <c r="F14" s="97">
        <f t="shared" si="1"/>
        <v>123.85600588974499</v>
      </c>
    </row>
    <row r="15" spans="1:15" s="100" customFormat="1" ht="28.5" customHeight="1">
      <c r="A15" s="90">
        <v>2</v>
      </c>
      <c r="B15" s="94" t="s">
        <v>110</v>
      </c>
      <c r="C15" s="95">
        <v>2227</v>
      </c>
      <c r="D15" s="185">
        <f>'34'!D31</f>
        <v>2227</v>
      </c>
      <c r="E15" s="95">
        <f t="shared" ref="E15:E24" si="3">D15-C15</f>
        <v>0</v>
      </c>
      <c r="F15" s="95">
        <f t="shared" si="1"/>
        <v>100</v>
      </c>
    </row>
    <row r="16" spans="1:15" s="100" customFormat="1" ht="28.5" customHeight="1">
      <c r="A16" s="90">
        <f t="shared" ref="A16:A22" si="4">A15+1</f>
        <v>3</v>
      </c>
      <c r="B16" s="94" t="s">
        <v>231</v>
      </c>
      <c r="C16" s="95">
        <v>3971</v>
      </c>
      <c r="D16" s="185">
        <f>'34'!D32</f>
        <v>4683</v>
      </c>
      <c r="E16" s="95">
        <f t="shared" si="3"/>
        <v>712</v>
      </c>
      <c r="F16" s="97">
        <f t="shared" si="1"/>
        <v>117.92999244522791</v>
      </c>
    </row>
    <row r="17" spans="1:6" s="100" customFormat="1" ht="28.5" customHeight="1">
      <c r="A17" s="90">
        <f t="shared" si="4"/>
        <v>4</v>
      </c>
      <c r="B17" s="94" t="s">
        <v>53</v>
      </c>
      <c r="C17" s="95">
        <v>10712</v>
      </c>
      <c r="D17" s="185">
        <f>'34'!D33</f>
        <v>20246</v>
      </c>
      <c r="E17" s="95">
        <f t="shared" si="3"/>
        <v>9534</v>
      </c>
      <c r="F17" s="95">
        <f t="shared" si="1"/>
        <v>189.00298730395818</v>
      </c>
    </row>
    <row r="18" spans="1:6" s="100" customFormat="1" ht="28.5" customHeight="1">
      <c r="A18" s="90">
        <f t="shared" si="4"/>
        <v>5</v>
      </c>
      <c r="B18" s="94" t="s">
        <v>54</v>
      </c>
      <c r="C18" s="95">
        <v>47128</v>
      </c>
      <c r="D18" s="185">
        <f>'34'!D34</f>
        <v>44359</v>
      </c>
      <c r="E18" s="95">
        <f t="shared" si="3"/>
        <v>-2769</v>
      </c>
      <c r="F18" s="97">
        <f t="shared" si="1"/>
        <v>94.124511967407912</v>
      </c>
    </row>
    <row r="19" spans="1:6" s="100" customFormat="1" ht="38.25" customHeight="1">
      <c r="A19" s="90">
        <f t="shared" si="4"/>
        <v>6</v>
      </c>
      <c r="B19" s="94" t="s">
        <v>55</v>
      </c>
      <c r="C19" s="95">
        <v>41418</v>
      </c>
      <c r="D19" s="185">
        <f>'34'!D35</f>
        <v>50560</v>
      </c>
      <c r="E19" s="95">
        <f t="shared" si="3"/>
        <v>9142</v>
      </c>
      <c r="F19" s="97">
        <f t="shared" si="1"/>
        <v>122.07252885218986</v>
      </c>
    </row>
    <row r="20" spans="1:6" s="100" customFormat="1" ht="28.5" customHeight="1">
      <c r="A20" s="90">
        <f t="shared" si="4"/>
        <v>7</v>
      </c>
      <c r="B20" s="94" t="s">
        <v>0</v>
      </c>
      <c r="C20" s="95">
        <v>50146</v>
      </c>
      <c r="D20" s="185">
        <f>'34'!D36</f>
        <v>53423</v>
      </c>
      <c r="E20" s="95">
        <f t="shared" si="3"/>
        <v>3277</v>
      </c>
      <c r="F20" s="97">
        <f t="shared" si="1"/>
        <v>106.53491803932518</v>
      </c>
    </row>
    <row r="21" spans="1:6" s="100" customFormat="1" ht="28.5" customHeight="1">
      <c r="A21" s="90">
        <f t="shared" si="4"/>
        <v>8</v>
      </c>
      <c r="B21" s="94" t="s">
        <v>101</v>
      </c>
      <c r="C21" s="95">
        <v>2679</v>
      </c>
      <c r="D21" s="185">
        <f>'34'!D37</f>
        <v>2679</v>
      </c>
      <c r="E21" s="95">
        <f t="shared" si="3"/>
        <v>0</v>
      </c>
      <c r="F21" s="95">
        <f t="shared" si="1"/>
        <v>100</v>
      </c>
    </row>
    <row r="22" spans="1:6" s="100" customFormat="1" ht="28.5" customHeight="1">
      <c r="A22" s="90">
        <f t="shared" si="4"/>
        <v>9</v>
      </c>
      <c r="B22" s="94" t="s">
        <v>102</v>
      </c>
      <c r="C22" s="95">
        <v>446</v>
      </c>
      <c r="D22" s="185">
        <f>'34'!D38</f>
        <v>446</v>
      </c>
      <c r="E22" s="95">
        <f t="shared" si="3"/>
        <v>0</v>
      </c>
      <c r="F22" s="95">
        <f t="shared" si="1"/>
        <v>100</v>
      </c>
    </row>
    <row r="23" spans="1:6" s="197" customFormat="1" ht="28.5" customHeight="1">
      <c r="A23" s="192">
        <v>11</v>
      </c>
      <c r="B23" s="193" t="s">
        <v>180</v>
      </c>
      <c r="C23" s="185">
        <v>860</v>
      </c>
      <c r="D23" s="185">
        <f>'34'!D39</f>
        <v>1860</v>
      </c>
      <c r="E23" s="185"/>
      <c r="F23" s="194"/>
    </row>
    <row r="24" spans="1:6" s="195" customFormat="1" ht="28.5" customHeight="1">
      <c r="A24" s="245" t="s">
        <v>18</v>
      </c>
      <c r="B24" s="93" t="s">
        <v>131</v>
      </c>
      <c r="C24" s="91">
        <v>13607</v>
      </c>
      <c r="D24" s="1">
        <v>16506</v>
      </c>
      <c r="E24" s="91">
        <f t="shared" si="3"/>
        <v>2899</v>
      </c>
      <c r="F24" s="92">
        <f>D24/C24*100</f>
        <v>121.30521055339163</v>
      </c>
    </row>
    <row r="25" spans="1:6" s="195" customFormat="1" ht="28.5" customHeight="1">
      <c r="A25" s="245" t="s">
        <v>19</v>
      </c>
      <c r="B25" s="93" t="s">
        <v>192</v>
      </c>
      <c r="C25" s="91">
        <v>7696</v>
      </c>
      <c r="D25" s="1">
        <v>13140</v>
      </c>
      <c r="E25" s="91">
        <f t="shared" si="2"/>
        <v>5444</v>
      </c>
      <c r="F25" s="92">
        <f>D25/C25*100</f>
        <v>170.73804573804574</v>
      </c>
    </row>
    <row r="26" spans="1:6" s="195" customFormat="1" ht="28.5" customHeight="1">
      <c r="A26" s="245" t="s">
        <v>10</v>
      </c>
      <c r="B26" s="93" t="s">
        <v>132</v>
      </c>
      <c r="C26" s="91">
        <v>53110</v>
      </c>
      <c r="D26" s="91">
        <f>-D27+D28</f>
        <v>26860</v>
      </c>
      <c r="E26" s="91">
        <f>D26-C26</f>
        <v>-26250</v>
      </c>
      <c r="F26" s="92">
        <f t="shared" ref="F26:F29" si="5">D26/C26*100</f>
        <v>50.574279796648469</v>
      </c>
    </row>
    <row r="27" spans="1:6" s="195" customFormat="1" ht="28.5" customHeight="1">
      <c r="A27" s="245" t="s">
        <v>11</v>
      </c>
      <c r="B27" s="93" t="s">
        <v>30</v>
      </c>
      <c r="C27" s="91">
        <v>0</v>
      </c>
      <c r="D27" s="185">
        <f>'37'!J21</f>
        <v>0</v>
      </c>
      <c r="E27" s="91"/>
      <c r="F27" s="92"/>
    </row>
    <row r="28" spans="1:6" s="195" customFormat="1" ht="28.5" customHeight="1">
      <c r="A28" s="245" t="s">
        <v>16</v>
      </c>
      <c r="B28" s="93" t="s">
        <v>31</v>
      </c>
      <c r="C28" s="91">
        <v>53110</v>
      </c>
      <c r="D28" s="91">
        <f>D29+D42</f>
        <v>26860</v>
      </c>
      <c r="E28" s="1">
        <f t="shared" ref="E28:E34" si="6">D28-C28</f>
        <v>-26250</v>
      </c>
      <c r="F28" s="92">
        <f t="shared" si="5"/>
        <v>50.574279796648469</v>
      </c>
    </row>
    <row r="29" spans="1:6" s="195" customFormat="1" ht="42.75" customHeight="1">
      <c r="A29" s="245">
        <v>1</v>
      </c>
      <c r="B29" s="93" t="s">
        <v>187</v>
      </c>
      <c r="C29" s="91">
        <f>SUM(C30:C41)</f>
        <v>53110</v>
      </c>
      <c r="D29" s="91">
        <f>SUM(D30:D41)</f>
        <v>25350</v>
      </c>
      <c r="E29" s="1">
        <f t="shared" si="6"/>
        <v>-27760</v>
      </c>
      <c r="F29" s="92">
        <f t="shared" si="5"/>
        <v>47.731124082093771</v>
      </c>
    </row>
    <row r="30" spans="1:6" s="203" customFormat="1" ht="28.5" customHeight="1">
      <c r="A30" s="192" t="s">
        <v>216</v>
      </c>
      <c r="B30" s="193" t="s">
        <v>222</v>
      </c>
      <c r="C30" s="185">
        <v>0</v>
      </c>
      <c r="D30" s="185">
        <f>'34'!D46</f>
        <v>0</v>
      </c>
      <c r="E30" s="185">
        <f t="shared" si="6"/>
        <v>0</v>
      </c>
      <c r="F30" s="202"/>
    </row>
    <row r="31" spans="1:6" s="203" customFormat="1" ht="28.5" customHeight="1">
      <c r="A31" s="192" t="s">
        <v>216</v>
      </c>
      <c r="B31" s="193" t="s">
        <v>249</v>
      </c>
      <c r="C31" s="185">
        <v>0</v>
      </c>
      <c r="D31" s="185">
        <f>'34'!D47</f>
        <v>0</v>
      </c>
      <c r="E31" s="185">
        <f t="shared" si="6"/>
        <v>0</v>
      </c>
      <c r="F31" s="202"/>
    </row>
    <row r="32" spans="1:6" s="203" customFormat="1" ht="28.5" customHeight="1">
      <c r="A32" s="192" t="s">
        <v>216</v>
      </c>
      <c r="B32" s="193" t="s">
        <v>233</v>
      </c>
      <c r="C32" s="185">
        <v>0</v>
      </c>
      <c r="D32" s="185">
        <f>'34'!D48</f>
        <v>0</v>
      </c>
      <c r="E32" s="185">
        <f t="shared" si="6"/>
        <v>0</v>
      </c>
      <c r="F32" s="202"/>
    </row>
    <row r="33" spans="1:6" s="203" customFormat="1" ht="28.5" customHeight="1">
      <c r="A33" s="192" t="s">
        <v>216</v>
      </c>
      <c r="B33" s="193" t="s">
        <v>234</v>
      </c>
      <c r="C33" s="185">
        <v>0</v>
      </c>
      <c r="D33" s="1">
        <f>'15-CK'!E34</f>
        <v>0</v>
      </c>
      <c r="E33" s="185">
        <f t="shared" si="6"/>
        <v>0</v>
      </c>
      <c r="F33" s="202"/>
    </row>
    <row r="34" spans="1:6" s="203" customFormat="1" ht="28.5" customHeight="1">
      <c r="A34" s="192" t="s">
        <v>216</v>
      </c>
      <c r="B34" s="193" t="s">
        <v>235</v>
      </c>
      <c r="C34" s="185">
        <v>0</v>
      </c>
      <c r="D34" s="1">
        <f>'15-CK'!E35</f>
        <v>0</v>
      </c>
      <c r="E34" s="185">
        <f t="shared" si="6"/>
        <v>0</v>
      </c>
      <c r="F34" s="202"/>
    </row>
    <row r="35" spans="1:6" s="203" customFormat="1" ht="28.5" customHeight="1">
      <c r="A35" s="192" t="s">
        <v>216</v>
      </c>
      <c r="B35" s="258" t="s">
        <v>256</v>
      </c>
      <c r="C35" s="185">
        <v>14000</v>
      </c>
      <c r="D35" s="259"/>
      <c r="E35" s="185">
        <f t="shared" ref="E35:E44" si="7">D35-C35</f>
        <v>-14000</v>
      </c>
      <c r="F35" s="202"/>
    </row>
    <row r="36" spans="1:6" s="203" customFormat="1" ht="28.5" customHeight="1">
      <c r="A36" s="192" t="s">
        <v>216</v>
      </c>
      <c r="B36" s="258" t="s">
        <v>257</v>
      </c>
      <c r="C36" s="185">
        <v>14000</v>
      </c>
      <c r="D36" s="259">
        <v>4000</v>
      </c>
      <c r="E36" s="185">
        <f t="shared" si="7"/>
        <v>-10000</v>
      </c>
      <c r="F36" s="202"/>
    </row>
    <row r="37" spans="1:6" s="203" customFormat="1" ht="28.5" customHeight="1">
      <c r="A37" s="192" t="s">
        <v>216</v>
      </c>
      <c r="B37" s="258" t="s">
        <v>258</v>
      </c>
      <c r="C37" s="185">
        <v>14730</v>
      </c>
      <c r="D37" s="259">
        <v>4000</v>
      </c>
      <c r="E37" s="185">
        <f t="shared" si="7"/>
        <v>-10730</v>
      </c>
      <c r="F37" s="202"/>
    </row>
    <row r="38" spans="1:6" s="203" customFormat="1" ht="79.150000000000006" customHeight="1">
      <c r="A38" s="192" t="s">
        <v>216</v>
      </c>
      <c r="B38" s="258" t="s">
        <v>263</v>
      </c>
      <c r="C38" s="185">
        <v>10380</v>
      </c>
      <c r="D38" s="259"/>
      <c r="E38" s="185">
        <f t="shared" si="7"/>
        <v>-10380</v>
      </c>
      <c r="F38" s="202"/>
    </row>
    <row r="39" spans="1:6" s="203" customFormat="1" ht="34.5" customHeight="1">
      <c r="A39" s="192" t="s">
        <v>216</v>
      </c>
      <c r="B39" s="193" t="s">
        <v>279</v>
      </c>
      <c r="C39" s="185"/>
      <c r="D39" s="259">
        <v>6750</v>
      </c>
      <c r="E39" s="185">
        <f t="shared" si="7"/>
        <v>6750</v>
      </c>
      <c r="F39" s="202"/>
    </row>
    <row r="40" spans="1:6" ht="79.5" customHeight="1">
      <c r="A40" s="192" t="s">
        <v>216</v>
      </c>
      <c r="B40" s="258" t="s">
        <v>278</v>
      </c>
      <c r="C40" s="283"/>
      <c r="D40" s="259">
        <v>5300</v>
      </c>
      <c r="E40" s="185">
        <f t="shared" si="7"/>
        <v>5300</v>
      </c>
      <c r="F40" s="283"/>
    </row>
    <row r="41" spans="1:6" ht="49.5" customHeight="1">
      <c r="A41" s="192" t="s">
        <v>216</v>
      </c>
      <c r="B41" s="258" t="s">
        <v>280</v>
      </c>
      <c r="C41" s="283"/>
      <c r="D41" s="259">
        <v>5300</v>
      </c>
      <c r="E41" s="185">
        <f t="shared" si="7"/>
        <v>5300</v>
      </c>
      <c r="F41" s="283"/>
    </row>
    <row r="42" spans="1:6" ht="45" customHeight="1">
      <c r="A42" s="245">
        <v>2</v>
      </c>
      <c r="B42" s="93" t="s">
        <v>281</v>
      </c>
      <c r="C42" s="93"/>
      <c r="D42" s="284">
        <f>SUM(D43:D44)</f>
        <v>1510</v>
      </c>
      <c r="E42" s="1">
        <f t="shared" si="7"/>
        <v>1510</v>
      </c>
      <c r="F42" s="283"/>
    </row>
    <row r="43" spans="1:6" ht="42" customHeight="1">
      <c r="A43" s="192" t="s">
        <v>216</v>
      </c>
      <c r="B43" s="258" t="s">
        <v>282</v>
      </c>
      <c r="C43" s="283"/>
      <c r="D43" s="259">
        <v>350</v>
      </c>
      <c r="E43" s="185">
        <f t="shared" si="7"/>
        <v>350</v>
      </c>
      <c r="F43" s="283"/>
    </row>
    <row r="44" spans="1:6" ht="61.5" customHeight="1">
      <c r="A44" s="192" t="s">
        <v>216</v>
      </c>
      <c r="B44" s="258" t="s">
        <v>283</v>
      </c>
      <c r="C44" s="283"/>
      <c r="D44" s="259">
        <v>1160</v>
      </c>
      <c r="E44" s="185">
        <f t="shared" si="7"/>
        <v>1160</v>
      </c>
      <c r="F44" s="283"/>
    </row>
  </sheetData>
  <mergeCells count="10">
    <mergeCell ref="A8:B8"/>
    <mergeCell ref="E1:F1"/>
    <mergeCell ref="A2:F2"/>
    <mergeCell ref="A3:F3"/>
    <mergeCell ref="E4:F4"/>
    <mergeCell ref="A5:A6"/>
    <mergeCell ref="B5:B6"/>
    <mergeCell ref="C5:C6"/>
    <mergeCell ref="D5:D6"/>
    <mergeCell ref="E5:F5"/>
  </mergeCells>
  <printOptions horizontalCentered="1"/>
  <pageMargins left="0.5" right="0.5" top="0.5" bottom="0.5" header="0.3" footer="0.3"/>
  <pageSetup paperSize="9" scale="8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I45"/>
  <sheetViews>
    <sheetView workbookViewId="0">
      <selection activeCell="A4" sqref="A4:E4"/>
    </sheetView>
  </sheetViews>
  <sheetFormatPr defaultColWidth="9.140625" defaultRowHeight="18" customHeight="1"/>
  <cols>
    <col min="1" max="1" width="6.140625" style="17" customWidth="1"/>
    <col min="2" max="2" width="49.28515625" style="17" customWidth="1"/>
    <col min="3" max="3" width="12.140625" style="17" customWidth="1"/>
    <col min="4" max="4" width="12.85546875" style="271" customWidth="1"/>
    <col min="5" max="5" width="10.5703125" style="17" customWidth="1"/>
    <col min="6" max="7" width="9.5703125" style="17" bestFit="1" customWidth="1"/>
    <col min="8" max="16384" width="9.140625" style="17"/>
  </cols>
  <sheetData>
    <row r="1" spans="1:19" ht="20.25" customHeight="1">
      <c r="A1" s="17" t="s">
        <v>21</v>
      </c>
      <c r="D1" s="368" t="s">
        <v>181</v>
      </c>
      <c r="E1" s="368"/>
    </row>
    <row r="2" spans="1:19" s="18" customFormat="1" ht="20.25" customHeight="1">
      <c r="A2" s="369" t="s">
        <v>169</v>
      </c>
      <c r="B2" s="369"/>
      <c r="C2" s="369"/>
      <c r="D2" s="369"/>
      <c r="E2" s="369"/>
    </row>
    <row r="3" spans="1:19" s="18" customFormat="1" ht="20.25" customHeight="1">
      <c r="A3" s="369" t="s">
        <v>289</v>
      </c>
      <c r="B3" s="369"/>
      <c r="C3" s="369"/>
      <c r="D3" s="369"/>
      <c r="E3" s="369"/>
    </row>
    <row r="4" spans="1:19" s="53" customFormat="1" ht="41.25" customHeight="1">
      <c r="A4" s="316" t="s">
        <v>297</v>
      </c>
      <c r="B4" s="316"/>
      <c r="C4" s="316"/>
      <c r="D4" s="316"/>
      <c r="E4" s="316"/>
      <c r="F4" s="425"/>
      <c r="G4" s="102"/>
      <c r="H4" s="101"/>
      <c r="I4" s="101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19" ht="23.25" customHeight="1">
      <c r="D5" s="370" t="s">
        <v>223</v>
      </c>
      <c r="E5" s="370"/>
    </row>
    <row r="6" spans="1:19" s="19" customFormat="1" ht="25.5" customHeight="1">
      <c r="A6" s="371" t="s">
        <v>20</v>
      </c>
      <c r="B6" s="371" t="s">
        <v>5</v>
      </c>
      <c r="C6" s="372" t="s">
        <v>170</v>
      </c>
      <c r="D6" s="371" t="s">
        <v>171</v>
      </c>
      <c r="E6" s="371"/>
    </row>
    <row r="7" spans="1:19" s="19" customFormat="1" ht="47.25" customHeight="1">
      <c r="A7" s="371"/>
      <c r="B7" s="371"/>
      <c r="C7" s="372"/>
      <c r="D7" s="266" t="s">
        <v>70</v>
      </c>
      <c r="E7" s="20" t="s">
        <v>172</v>
      </c>
    </row>
    <row r="8" spans="1:19" s="19" customFormat="1" ht="25.5" customHeight="1">
      <c r="A8" s="21" t="s">
        <v>9</v>
      </c>
      <c r="B8" s="21" t="s">
        <v>10</v>
      </c>
      <c r="C8" s="22" t="s">
        <v>173</v>
      </c>
      <c r="D8" s="267">
        <v>2</v>
      </c>
      <c r="E8" s="22">
        <v>3</v>
      </c>
    </row>
    <row r="9" spans="1:19" s="26" customFormat="1" ht="27" customHeight="1">
      <c r="A9" s="354" t="s">
        <v>160</v>
      </c>
      <c r="B9" s="355"/>
      <c r="C9" s="25">
        <f>C10+C34</f>
        <v>868690</v>
      </c>
      <c r="D9" s="268">
        <f>D10+D34</f>
        <v>776271</v>
      </c>
      <c r="E9" s="25">
        <f>E10+E34</f>
        <v>92419</v>
      </c>
      <c r="F9" s="177">
        <f>'34'!D7</f>
        <v>868690</v>
      </c>
      <c r="G9" s="177"/>
      <c r="H9" s="177"/>
    </row>
    <row r="10" spans="1:19" s="26" customFormat="1" ht="24.95" customHeight="1">
      <c r="A10" s="23" t="s">
        <v>9</v>
      </c>
      <c r="B10" s="24" t="s">
        <v>133</v>
      </c>
      <c r="C10" s="25">
        <f>C11+C20+C32+C33</f>
        <v>841830</v>
      </c>
      <c r="D10" s="268">
        <f>D11+D20+D32+D33</f>
        <v>749411</v>
      </c>
      <c r="E10" s="25">
        <f>E11+E20+E32</f>
        <v>92419</v>
      </c>
      <c r="G10" s="177"/>
    </row>
    <row r="11" spans="1:19" s="26" customFormat="1" ht="24.95" customHeight="1">
      <c r="A11" s="23" t="s">
        <v>11</v>
      </c>
      <c r="B11" s="24" t="s">
        <v>28</v>
      </c>
      <c r="C11" s="25">
        <f>D11+E11</f>
        <v>51407</v>
      </c>
      <c r="D11" s="268">
        <f>'15-CK'!E23</f>
        <v>51407</v>
      </c>
      <c r="E11" s="27"/>
    </row>
    <row r="12" spans="1:19" s="19" customFormat="1" ht="21.95" hidden="1" customHeight="1">
      <c r="A12" s="21">
        <v>1</v>
      </c>
      <c r="B12" s="28" t="s">
        <v>41</v>
      </c>
      <c r="C12" s="29">
        <f t="shared" ref="C12:C31" ca="1" si="0">+D12+E12</f>
        <v>0</v>
      </c>
      <c r="D12" s="268">
        <f ca="1">C12-#REF!</f>
        <v>97643.460000000021</v>
      </c>
      <c r="E12" s="27">
        <f ca="1">C12/#REF!*100</f>
        <v>126.90643703499586</v>
      </c>
    </row>
    <row r="13" spans="1:19" s="19" customFormat="1" ht="21.95" hidden="1" customHeight="1">
      <c r="A13" s="21"/>
      <c r="B13" s="28" t="s">
        <v>127</v>
      </c>
      <c r="C13" s="29">
        <f t="shared" ca="1" si="0"/>
        <v>0</v>
      </c>
      <c r="D13" s="268">
        <f ca="1">C13-#REF!</f>
        <v>97643.460000000021</v>
      </c>
      <c r="E13" s="27">
        <f ca="1">C13/#REF!*100</f>
        <v>126.90643703499586</v>
      </c>
    </row>
    <row r="14" spans="1:19" s="19" customFormat="1" ht="21.95" hidden="1" customHeight="1">
      <c r="A14" s="21" t="s">
        <v>21</v>
      </c>
      <c r="B14" s="30" t="s">
        <v>128</v>
      </c>
      <c r="C14" s="31">
        <f t="shared" ca="1" si="0"/>
        <v>0</v>
      </c>
      <c r="D14" s="268">
        <f ca="1">C14-#REF!</f>
        <v>97643.460000000021</v>
      </c>
      <c r="E14" s="27">
        <f ca="1">C14/#REF!*100</f>
        <v>126.90643703499586</v>
      </c>
    </row>
    <row r="15" spans="1:19" s="19" customFormat="1" ht="21.95" hidden="1" customHeight="1">
      <c r="A15" s="21" t="s">
        <v>21</v>
      </c>
      <c r="B15" s="30" t="s">
        <v>129</v>
      </c>
      <c r="C15" s="31">
        <f t="shared" ca="1" si="0"/>
        <v>0</v>
      </c>
      <c r="D15" s="268">
        <f ca="1">C15-#REF!</f>
        <v>97643.460000000021</v>
      </c>
      <c r="E15" s="27">
        <f ca="1">C15/#REF!*100</f>
        <v>126.90643703499586</v>
      </c>
    </row>
    <row r="16" spans="1:19" s="19" customFormat="1" ht="24.95" customHeight="1">
      <c r="A16" s="21"/>
      <c r="B16" s="28" t="s">
        <v>130</v>
      </c>
      <c r="C16" s="29"/>
      <c r="D16" s="269"/>
      <c r="E16" s="27"/>
      <c r="G16" s="204"/>
    </row>
    <row r="17" spans="1:7" s="19" customFormat="1" ht="24.95" customHeight="1">
      <c r="A17" s="21" t="s">
        <v>21</v>
      </c>
      <c r="B17" s="30" t="s">
        <v>45</v>
      </c>
      <c r="C17" s="29">
        <f>D17+E17</f>
        <v>15600</v>
      </c>
      <c r="D17" s="269">
        <f>'16-CK'!F20</f>
        <v>15600</v>
      </c>
      <c r="E17" s="32"/>
    </row>
    <row r="18" spans="1:7" s="19" customFormat="1" ht="16.5" hidden="1">
      <c r="A18" s="21" t="s">
        <v>21</v>
      </c>
      <c r="B18" s="30" t="s">
        <v>46</v>
      </c>
      <c r="C18" s="31">
        <f t="shared" ca="1" si="0"/>
        <v>0</v>
      </c>
      <c r="D18" s="268">
        <f ca="1">C18-#REF!</f>
        <v>97643.460000000021</v>
      </c>
      <c r="E18" s="27">
        <f ca="1">C18/#REF!*100</f>
        <v>126.90643703499586</v>
      </c>
    </row>
    <row r="19" spans="1:7" s="19" customFormat="1" ht="16.5" hidden="1">
      <c r="A19" s="21">
        <v>2</v>
      </c>
      <c r="B19" s="28" t="s">
        <v>47</v>
      </c>
      <c r="C19" s="29">
        <f t="shared" ca="1" si="0"/>
        <v>0</v>
      </c>
      <c r="D19" s="268">
        <f ca="1">C19-#REF!</f>
        <v>97643.460000000021</v>
      </c>
      <c r="E19" s="27">
        <f ca="1">C19/#REF!*100</f>
        <v>126.90643703499586</v>
      </c>
    </row>
    <row r="20" spans="1:7" s="26" customFormat="1" ht="24.95" customHeight="1">
      <c r="A20" s="23" t="s">
        <v>16</v>
      </c>
      <c r="B20" s="24" t="s">
        <v>3</v>
      </c>
      <c r="C20" s="25">
        <f>D20+E20</f>
        <v>760777</v>
      </c>
      <c r="D20" s="268">
        <f>'34'!D27</f>
        <v>668358</v>
      </c>
      <c r="E20" s="25">
        <f>'30-CK'!E32</f>
        <v>92419</v>
      </c>
      <c r="G20" s="177"/>
    </row>
    <row r="21" spans="1:7" s="19" customFormat="1" ht="24.95" customHeight="1">
      <c r="A21" s="21"/>
      <c r="B21" s="30" t="s">
        <v>42</v>
      </c>
      <c r="C21" s="29"/>
      <c r="D21" s="268"/>
      <c r="E21" s="27"/>
    </row>
    <row r="22" spans="1:7" s="33" customFormat="1" ht="24.95" customHeight="1">
      <c r="A22" s="21">
        <v>1</v>
      </c>
      <c r="B22" s="28" t="s">
        <v>43</v>
      </c>
      <c r="C22" s="29">
        <f>D22</f>
        <v>487875</v>
      </c>
      <c r="D22" s="269">
        <f>'17-CK'!D14</f>
        <v>487875</v>
      </c>
      <c r="E22" s="32"/>
    </row>
    <row r="23" spans="1:7" s="33" customFormat="1" ht="21.95" hidden="1" customHeight="1">
      <c r="A23" s="21">
        <v>2</v>
      </c>
      <c r="B23" s="28" t="s">
        <v>110</v>
      </c>
      <c r="C23" s="29">
        <f t="shared" ca="1" si="0"/>
        <v>1661</v>
      </c>
      <c r="D23" s="268">
        <f ca="1">C23-#REF!</f>
        <v>97643.460000000021</v>
      </c>
      <c r="E23" s="27"/>
    </row>
    <row r="24" spans="1:7" s="33" customFormat="1" ht="21.95" hidden="1" customHeight="1">
      <c r="A24" s="21">
        <f t="shared" ref="A24:A30" si="1">A23+1</f>
        <v>3</v>
      </c>
      <c r="B24" s="28" t="s">
        <v>50</v>
      </c>
      <c r="C24" s="29">
        <f t="shared" ca="1" si="0"/>
        <v>1414</v>
      </c>
      <c r="D24" s="268">
        <f ca="1">C24-#REF!</f>
        <v>97643.460000000021</v>
      </c>
      <c r="E24" s="27"/>
    </row>
    <row r="25" spans="1:7" s="33" customFormat="1" ht="21.95" hidden="1" customHeight="1">
      <c r="A25" s="21">
        <f t="shared" si="1"/>
        <v>4</v>
      </c>
      <c r="B25" s="28" t="s">
        <v>51</v>
      </c>
      <c r="C25" s="29">
        <f t="shared" ca="1" si="0"/>
        <v>1006</v>
      </c>
      <c r="D25" s="268">
        <f ca="1">C25-#REF!</f>
        <v>97643.460000000021</v>
      </c>
      <c r="E25" s="27"/>
    </row>
    <row r="26" spans="1:7" s="33" customFormat="1" ht="21.95" hidden="1" customHeight="1">
      <c r="A26" s="21">
        <f t="shared" si="1"/>
        <v>5</v>
      </c>
      <c r="B26" s="28" t="s">
        <v>52</v>
      </c>
      <c r="C26" s="29">
        <f t="shared" ca="1" si="0"/>
        <v>1110</v>
      </c>
      <c r="D26" s="268">
        <f ca="1">C26-#REF!</f>
        <v>97643.460000000021</v>
      </c>
      <c r="E26" s="27"/>
    </row>
    <row r="27" spans="1:7" s="33" customFormat="1" ht="21.95" hidden="1" customHeight="1">
      <c r="A27" s="21">
        <f t="shared" si="1"/>
        <v>6</v>
      </c>
      <c r="B27" s="28" t="s">
        <v>53</v>
      </c>
      <c r="C27" s="29">
        <f t="shared" ca="1" si="0"/>
        <v>6371</v>
      </c>
      <c r="D27" s="268">
        <f ca="1">C27-#REF!</f>
        <v>97643.460000000021</v>
      </c>
      <c r="E27" s="27"/>
    </row>
    <row r="28" spans="1:7" s="33" customFormat="1" ht="21.95" hidden="1" customHeight="1">
      <c r="A28" s="21">
        <f t="shared" si="1"/>
        <v>7</v>
      </c>
      <c r="B28" s="28" t="s">
        <v>54</v>
      </c>
      <c r="C28" s="29">
        <f t="shared" ca="1" si="0"/>
        <v>17842</v>
      </c>
      <c r="D28" s="268">
        <f ca="1">C28-#REF!</f>
        <v>97643.460000000021</v>
      </c>
      <c r="E28" s="27"/>
    </row>
    <row r="29" spans="1:7" s="33" customFormat="1" ht="21.95" hidden="1" customHeight="1">
      <c r="A29" s="21">
        <f t="shared" si="1"/>
        <v>8</v>
      </c>
      <c r="B29" s="28" t="s">
        <v>55</v>
      </c>
      <c r="C29" s="29">
        <f t="shared" ca="1" si="0"/>
        <v>35370</v>
      </c>
      <c r="D29" s="268">
        <f ca="1">C29-#REF!</f>
        <v>97643.460000000021</v>
      </c>
      <c r="E29" s="27"/>
    </row>
    <row r="30" spans="1:7" s="33" customFormat="1" ht="21.95" hidden="1" customHeight="1">
      <c r="A30" s="21">
        <f t="shared" si="1"/>
        <v>9</v>
      </c>
      <c r="B30" s="28" t="s">
        <v>0</v>
      </c>
      <c r="C30" s="29">
        <f t="shared" ca="1" si="0"/>
        <v>18519</v>
      </c>
      <c r="D30" s="268">
        <f ca="1">C30-#REF!</f>
        <v>97643.460000000021</v>
      </c>
      <c r="E30" s="27"/>
    </row>
    <row r="31" spans="1:7" s="33" customFormat="1" ht="21.95" hidden="1" customHeight="1">
      <c r="A31" s="21">
        <v>11</v>
      </c>
      <c r="B31" s="28" t="s">
        <v>101</v>
      </c>
      <c r="C31" s="29">
        <f t="shared" ca="1" si="0"/>
        <v>2411</v>
      </c>
      <c r="D31" s="268">
        <f ca="1">C31-#REF!</f>
        <v>97643.460000000021</v>
      </c>
      <c r="E31" s="27"/>
    </row>
    <row r="32" spans="1:7" s="26" customFormat="1" ht="24.75" customHeight="1">
      <c r="A32" s="23" t="s">
        <v>18</v>
      </c>
      <c r="B32" s="24" t="s">
        <v>131</v>
      </c>
      <c r="C32" s="25">
        <f>D32+E32</f>
        <v>16506</v>
      </c>
      <c r="D32" s="268">
        <f>'17-CK'!D24</f>
        <v>16506</v>
      </c>
      <c r="E32" s="25"/>
    </row>
    <row r="33" spans="1:139" s="16" customFormat="1" ht="24.95" customHeight="1">
      <c r="A33" s="124" t="s">
        <v>19</v>
      </c>
      <c r="B33" s="156" t="s">
        <v>192</v>
      </c>
      <c r="C33" s="157">
        <f>D33+E33</f>
        <v>13140</v>
      </c>
      <c r="D33" s="270">
        <f>'17-CK'!D25</f>
        <v>13140</v>
      </c>
      <c r="E33" s="12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</row>
    <row r="34" spans="1:139" s="26" customFormat="1" ht="24.95" customHeight="1">
      <c r="A34" s="23" t="s">
        <v>10</v>
      </c>
      <c r="B34" s="24" t="s">
        <v>132</v>
      </c>
      <c r="C34" s="25">
        <f>C35+C36</f>
        <v>26860</v>
      </c>
      <c r="D34" s="25">
        <f>D35+D36</f>
        <v>26860</v>
      </c>
      <c r="E34" s="25"/>
    </row>
    <row r="35" spans="1:139" s="26" customFormat="1" ht="24.95" customHeight="1">
      <c r="A35" s="23" t="s">
        <v>11</v>
      </c>
      <c r="B35" s="24" t="s">
        <v>30</v>
      </c>
      <c r="C35" s="25"/>
      <c r="D35" s="25"/>
      <c r="E35" s="27"/>
    </row>
    <row r="36" spans="1:139" s="26" customFormat="1" ht="24.95" customHeight="1">
      <c r="A36" s="23" t="s">
        <v>16</v>
      </c>
      <c r="B36" s="24" t="s">
        <v>31</v>
      </c>
      <c r="C36" s="25">
        <f>C37+C43</f>
        <v>26860</v>
      </c>
      <c r="D36" s="25">
        <f>D37+D43</f>
        <v>26860</v>
      </c>
      <c r="E36" s="27"/>
    </row>
    <row r="37" spans="1:139" s="26" customFormat="1" ht="41.25" customHeight="1">
      <c r="A37" s="245">
        <v>1</v>
      </c>
      <c r="B37" s="93" t="s">
        <v>187</v>
      </c>
      <c r="C37" s="25">
        <f>SUM(C38:C42)</f>
        <v>25350</v>
      </c>
      <c r="D37" s="25">
        <f>SUM(D38:D42)</f>
        <v>25350</v>
      </c>
      <c r="E37" s="27"/>
    </row>
    <row r="38" spans="1:139" s="26" customFormat="1" ht="24.95" customHeight="1">
      <c r="A38" s="192" t="s">
        <v>216</v>
      </c>
      <c r="B38" s="258" t="s">
        <v>257</v>
      </c>
      <c r="C38" s="259">
        <v>4000</v>
      </c>
      <c r="D38" s="259">
        <v>4000</v>
      </c>
      <c r="E38" s="27"/>
    </row>
    <row r="39" spans="1:139" s="26" customFormat="1" ht="24.95" customHeight="1">
      <c r="A39" s="192" t="s">
        <v>216</v>
      </c>
      <c r="B39" s="258" t="s">
        <v>258</v>
      </c>
      <c r="C39" s="259">
        <v>4000</v>
      </c>
      <c r="D39" s="259">
        <v>4000</v>
      </c>
      <c r="E39" s="27"/>
    </row>
    <row r="40" spans="1:139" s="26" customFormat="1" ht="24.95" customHeight="1">
      <c r="A40" s="192" t="s">
        <v>216</v>
      </c>
      <c r="B40" s="193" t="s">
        <v>279</v>
      </c>
      <c r="C40" s="259">
        <v>6750</v>
      </c>
      <c r="D40" s="259">
        <v>6750</v>
      </c>
      <c r="E40" s="27"/>
    </row>
    <row r="41" spans="1:139" s="26" customFormat="1" ht="78" customHeight="1">
      <c r="A41" s="192" t="s">
        <v>216</v>
      </c>
      <c r="B41" s="258" t="s">
        <v>278</v>
      </c>
      <c r="C41" s="259">
        <v>5300</v>
      </c>
      <c r="D41" s="259">
        <v>5300</v>
      </c>
      <c r="E41" s="27"/>
    </row>
    <row r="42" spans="1:139" ht="51" customHeight="1">
      <c r="A42" s="192" t="s">
        <v>216</v>
      </c>
      <c r="B42" s="258" t="s">
        <v>280</v>
      </c>
      <c r="C42" s="259">
        <v>5300</v>
      </c>
      <c r="D42" s="259">
        <v>5300</v>
      </c>
      <c r="E42" s="285"/>
    </row>
    <row r="43" spans="1:139" ht="43.5" customHeight="1">
      <c r="A43" s="192" t="s">
        <v>216</v>
      </c>
      <c r="B43" s="93" t="s">
        <v>281</v>
      </c>
      <c r="C43" s="284">
        <f>SUM(C44:C45)</f>
        <v>1510</v>
      </c>
      <c r="D43" s="284">
        <f>SUM(D44:D45)</f>
        <v>1510</v>
      </c>
      <c r="E43" s="285"/>
    </row>
    <row r="44" spans="1:139" ht="39.75" customHeight="1">
      <c r="A44" s="192" t="s">
        <v>216</v>
      </c>
      <c r="B44" s="258" t="s">
        <v>282</v>
      </c>
      <c r="C44" s="259">
        <v>350</v>
      </c>
      <c r="D44" s="259">
        <v>350</v>
      </c>
      <c r="E44" s="285"/>
    </row>
    <row r="45" spans="1:139" ht="65.25" customHeight="1">
      <c r="A45" s="192" t="s">
        <v>216</v>
      </c>
      <c r="B45" s="258" t="s">
        <v>283</v>
      </c>
      <c r="C45" s="259">
        <v>1160</v>
      </c>
      <c r="D45" s="259">
        <v>1160</v>
      </c>
      <c r="E45" s="285"/>
    </row>
  </sheetData>
  <mergeCells count="10">
    <mergeCell ref="A9:B9"/>
    <mergeCell ref="A6:A7"/>
    <mergeCell ref="B6:B7"/>
    <mergeCell ref="C6:C7"/>
    <mergeCell ref="D6:E6"/>
    <mergeCell ref="D1:E1"/>
    <mergeCell ref="A4:E4"/>
    <mergeCell ref="A3:E3"/>
    <mergeCell ref="D5:E5"/>
    <mergeCell ref="A2:E2"/>
  </mergeCells>
  <printOptions horizontalCentered="1"/>
  <pageMargins left="0.5" right="0.5" top="0.5" bottom="0.5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21"/>
  <sheetViews>
    <sheetView workbookViewId="0">
      <selection activeCell="A3" sqref="A3:J3"/>
    </sheetView>
  </sheetViews>
  <sheetFormatPr defaultColWidth="9.140625" defaultRowHeight="15.75"/>
  <cols>
    <col min="1" max="1" width="6.7109375" style="3" customWidth="1"/>
    <col min="2" max="2" width="23.85546875" style="3" customWidth="1"/>
    <col min="3" max="3" width="9.140625" style="3" customWidth="1"/>
    <col min="4" max="4" width="9" style="3" customWidth="1"/>
    <col min="5" max="5" width="11" style="187" customWidth="1"/>
    <col min="6" max="6" width="11.42578125" style="3" customWidth="1"/>
    <col min="7" max="7" width="11.42578125" style="3" bestFit="1" customWidth="1"/>
    <col min="8" max="8" width="11.42578125" style="3" hidden="1" customWidth="1"/>
    <col min="9" max="9" width="11.28515625" style="3" hidden="1" customWidth="1"/>
    <col min="10" max="10" width="9.5703125" style="187" customWidth="1"/>
    <col min="11" max="11" width="15.7109375" style="3" hidden="1" customWidth="1"/>
    <col min="12" max="16384" width="9.140625" style="3"/>
  </cols>
  <sheetData>
    <row r="1" spans="1:13" ht="20.25" customHeight="1">
      <c r="A1" s="158"/>
      <c r="B1" s="158"/>
      <c r="C1" s="159"/>
      <c r="D1" s="159"/>
      <c r="E1" s="159"/>
      <c r="F1" s="159"/>
      <c r="G1" s="160"/>
      <c r="H1" s="161"/>
      <c r="I1" s="161"/>
      <c r="J1" s="161" t="s">
        <v>182</v>
      </c>
      <c r="K1" s="4"/>
    </row>
    <row r="2" spans="1:13" ht="39" customHeight="1">
      <c r="A2" s="376" t="s">
        <v>290</v>
      </c>
      <c r="B2" s="377"/>
      <c r="C2" s="377"/>
      <c r="D2" s="377"/>
      <c r="E2" s="377"/>
      <c r="F2" s="377"/>
      <c r="G2" s="377"/>
      <c r="H2" s="377"/>
      <c r="I2" s="377"/>
      <c r="J2" s="377"/>
      <c r="K2" s="2"/>
    </row>
    <row r="3" spans="1:13" s="53" customFormat="1" ht="41.25" customHeight="1">
      <c r="A3" s="316" t="s">
        <v>297</v>
      </c>
      <c r="B3" s="316"/>
      <c r="C3" s="316"/>
      <c r="D3" s="316"/>
      <c r="E3" s="316"/>
      <c r="F3" s="316"/>
      <c r="G3" s="316"/>
      <c r="H3" s="316"/>
      <c r="I3" s="316"/>
      <c r="J3" s="316"/>
      <c r="K3" s="55"/>
      <c r="L3" s="55"/>
      <c r="M3" s="55"/>
    </row>
    <row r="4" spans="1:13" ht="21" customHeight="1" thickBot="1">
      <c r="A4" s="160"/>
      <c r="B4" s="160" t="s">
        <v>17</v>
      </c>
      <c r="C4" s="162"/>
      <c r="D4" s="160"/>
      <c r="E4" s="160"/>
      <c r="F4" s="160"/>
      <c r="G4" s="379" t="s">
        <v>223</v>
      </c>
      <c r="H4" s="379"/>
      <c r="I4" s="379"/>
      <c r="J4" s="379"/>
      <c r="K4" s="5"/>
    </row>
    <row r="5" spans="1:13" s="7" customFormat="1" ht="36" customHeight="1">
      <c r="A5" s="375" t="s">
        <v>20</v>
      </c>
      <c r="B5" s="375" t="s">
        <v>13</v>
      </c>
      <c r="C5" s="378" t="s">
        <v>57</v>
      </c>
      <c r="D5" s="378" t="s">
        <v>264</v>
      </c>
      <c r="E5" s="375"/>
      <c r="F5" s="375"/>
      <c r="G5" s="378" t="s">
        <v>89</v>
      </c>
      <c r="H5" s="378" t="s">
        <v>91</v>
      </c>
      <c r="I5" s="378" t="s">
        <v>26</v>
      </c>
      <c r="J5" s="378" t="s">
        <v>90</v>
      </c>
      <c r="K5" s="6"/>
    </row>
    <row r="6" spans="1:13" s="7" customFormat="1" ht="135" customHeight="1">
      <c r="A6" s="375"/>
      <c r="B6" s="375"/>
      <c r="C6" s="375"/>
      <c r="D6" s="163" t="s">
        <v>7</v>
      </c>
      <c r="E6" s="164" t="s">
        <v>87</v>
      </c>
      <c r="F6" s="164" t="s">
        <v>88</v>
      </c>
      <c r="G6" s="375"/>
      <c r="H6" s="375"/>
      <c r="I6" s="375" t="s">
        <v>14</v>
      </c>
      <c r="J6" s="375" t="s">
        <v>15</v>
      </c>
      <c r="K6" s="243"/>
    </row>
    <row r="7" spans="1:13" ht="30.75" customHeight="1">
      <c r="A7" s="165" t="s">
        <v>9</v>
      </c>
      <c r="B7" s="165" t="s">
        <v>10</v>
      </c>
      <c r="C7" s="165">
        <v>1</v>
      </c>
      <c r="D7" s="165">
        <v>2</v>
      </c>
      <c r="E7" s="165">
        <v>3</v>
      </c>
      <c r="F7" s="165">
        <v>4</v>
      </c>
      <c r="G7" s="165" t="s">
        <v>236</v>
      </c>
      <c r="H7" s="165">
        <v>6</v>
      </c>
      <c r="I7" s="165">
        <v>7</v>
      </c>
      <c r="J7" s="165">
        <v>6</v>
      </c>
      <c r="K7" s="8">
        <v>7</v>
      </c>
    </row>
    <row r="8" spans="1:13" s="9" customFormat="1" ht="30.75" customHeight="1">
      <c r="A8" s="373" t="s">
        <v>7</v>
      </c>
      <c r="B8" s="374"/>
      <c r="C8" s="240">
        <f>SUM(C9:C18)</f>
        <v>6466</v>
      </c>
      <c r="D8" s="240">
        <f>SUM(D9:D18)</f>
        <v>4866</v>
      </c>
      <c r="E8" s="240">
        <f>SUM(E9:E18)</f>
        <v>3266</v>
      </c>
      <c r="F8" s="240">
        <f t="shared" ref="F8:I8" si="0">SUM(F9:F18)</f>
        <v>1600</v>
      </c>
      <c r="G8" s="240">
        <f t="shared" si="0"/>
        <v>82218</v>
      </c>
      <c r="H8" s="240">
        <f t="shared" si="0"/>
        <v>0</v>
      </c>
      <c r="I8" s="240">
        <f t="shared" si="0"/>
        <v>0</v>
      </c>
      <c r="J8" s="240">
        <f>SUM(J9:J18)</f>
        <v>87084</v>
      </c>
      <c r="K8" s="240">
        <f t="shared" ref="K8" si="1">SUM(K9:K18)</f>
        <v>0</v>
      </c>
    </row>
    <row r="9" spans="1:13" ht="30.75" customHeight="1">
      <c r="A9" s="241">
        <v>1</v>
      </c>
      <c r="B9" s="242" t="s">
        <v>92</v>
      </c>
      <c r="C9" s="242">
        <f>'32'!C9</f>
        <v>3540</v>
      </c>
      <c r="D9" s="242">
        <f>E9+F9</f>
        <v>1940</v>
      </c>
      <c r="E9" s="242">
        <f>'32'!E9+'32'!F9+'32'!G9</f>
        <v>340</v>
      </c>
      <c r="F9" s="242">
        <f>'32'!D9*0.5</f>
        <v>1600</v>
      </c>
      <c r="G9" s="242">
        <f>J9-D9</f>
        <v>5652</v>
      </c>
      <c r="H9" s="242"/>
      <c r="I9" s="242"/>
      <c r="J9" s="242">
        <v>7592</v>
      </c>
      <c r="K9" s="10"/>
    </row>
    <row r="10" spans="1:13" ht="30.75" customHeight="1">
      <c r="A10" s="241">
        <v>2</v>
      </c>
      <c r="B10" s="242" t="s">
        <v>93</v>
      </c>
      <c r="C10" s="242">
        <f>'32'!C10</f>
        <v>245</v>
      </c>
      <c r="D10" s="242">
        <f t="shared" ref="D10:D18" si="2">E10+F10</f>
        <v>245</v>
      </c>
      <c r="E10" s="242">
        <f>'32'!D10+'32'!E10+'32'!F10+'32'!G10</f>
        <v>245</v>
      </c>
      <c r="F10" s="242"/>
      <c r="G10" s="242">
        <f>J10-D10</f>
        <v>9237</v>
      </c>
      <c r="H10" s="242"/>
      <c r="I10" s="242"/>
      <c r="J10" s="242">
        <v>9482</v>
      </c>
      <c r="K10" s="10"/>
    </row>
    <row r="11" spans="1:13" ht="30.75" customHeight="1">
      <c r="A11" s="241">
        <v>3</v>
      </c>
      <c r="B11" s="242" t="s">
        <v>94</v>
      </c>
      <c r="C11" s="242">
        <f>'32'!C11</f>
        <v>575</v>
      </c>
      <c r="D11" s="242">
        <f t="shared" si="2"/>
        <v>575</v>
      </c>
      <c r="E11" s="242">
        <f>'32'!D11+'32'!E11+'32'!F11+'32'!G11</f>
        <v>575</v>
      </c>
      <c r="F11" s="242"/>
      <c r="G11" s="242">
        <f t="shared" ref="G11:G18" si="3">J11-D11</f>
        <v>9857</v>
      </c>
      <c r="H11" s="242"/>
      <c r="I11" s="242"/>
      <c r="J11" s="242">
        <v>10432</v>
      </c>
      <c r="K11" s="10"/>
    </row>
    <row r="12" spans="1:13" ht="30.75" customHeight="1">
      <c r="A12" s="241">
        <v>4</v>
      </c>
      <c r="B12" s="242" t="s">
        <v>95</v>
      </c>
      <c r="C12" s="242">
        <f>'32'!C12</f>
        <v>378</v>
      </c>
      <c r="D12" s="242">
        <f t="shared" si="2"/>
        <v>378</v>
      </c>
      <c r="E12" s="242">
        <f>'32'!D12+'32'!E12+'32'!F12+'32'!G12</f>
        <v>378</v>
      </c>
      <c r="F12" s="242"/>
      <c r="G12" s="242">
        <f t="shared" si="3"/>
        <v>8412</v>
      </c>
      <c r="H12" s="242"/>
      <c r="I12" s="242"/>
      <c r="J12" s="242">
        <v>8790</v>
      </c>
      <c r="K12" s="10"/>
    </row>
    <row r="13" spans="1:13" ht="30.75" customHeight="1">
      <c r="A13" s="241">
        <v>5</v>
      </c>
      <c r="B13" s="242" t="s">
        <v>96</v>
      </c>
      <c r="C13" s="242">
        <f>'32'!C13</f>
        <v>272</v>
      </c>
      <c r="D13" s="242">
        <f t="shared" si="2"/>
        <v>272</v>
      </c>
      <c r="E13" s="242">
        <f>'32'!D13+'32'!E13+'32'!F13+'32'!G13</f>
        <v>272</v>
      </c>
      <c r="F13" s="242"/>
      <c r="G13" s="242">
        <f t="shared" si="3"/>
        <v>7876</v>
      </c>
      <c r="H13" s="242"/>
      <c r="I13" s="242"/>
      <c r="J13" s="242">
        <v>8148</v>
      </c>
      <c r="K13" s="10"/>
    </row>
    <row r="14" spans="1:13" ht="30.75" customHeight="1">
      <c r="A14" s="241">
        <v>6</v>
      </c>
      <c r="B14" s="242" t="s">
        <v>250</v>
      </c>
      <c r="C14" s="242">
        <f>'32'!C14</f>
        <v>425</v>
      </c>
      <c r="D14" s="242">
        <f t="shared" si="2"/>
        <v>425</v>
      </c>
      <c r="E14" s="242">
        <f>'32'!D14+'32'!E14+'32'!F14+'32'!G14</f>
        <v>425</v>
      </c>
      <c r="F14" s="242"/>
      <c r="G14" s="242">
        <f t="shared" si="3"/>
        <v>9308</v>
      </c>
      <c r="H14" s="242"/>
      <c r="I14" s="242"/>
      <c r="J14" s="242">
        <v>9733</v>
      </c>
      <c r="K14" s="10"/>
    </row>
    <row r="15" spans="1:13" ht="30.75" customHeight="1">
      <c r="A15" s="241">
        <v>7</v>
      </c>
      <c r="B15" s="242" t="s">
        <v>97</v>
      </c>
      <c r="C15" s="242">
        <f>'32'!C15</f>
        <v>375</v>
      </c>
      <c r="D15" s="242">
        <f t="shared" si="2"/>
        <v>375</v>
      </c>
      <c r="E15" s="242">
        <f>'32'!D15+'32'!E15+'32'!F15+'32'!G15</f>
        <v>375</v>
      </c>
      <c r="F15" s="242"/>
      <c r="G15" s="242">
        <f t="shared" si="3"/>
        <v>7249</v>
      </c>
      <c r="H15" s="242"/>
      <c r="I15" s="242"/>
      <c r="J15" s="242">
        <v>7624</v>
      </c>
      <c r="K15" s="10"/>
    </row>
    <row r="16" spans="1:13" ht="30.75" customHeight="1">
      <c r="A16" s="241">
        <v>8</v>
      </c>
      <c r="B16" s="242" t="s">
        <v>224</v>
      </c>
      <c r="C16" s="242">
        <f>'32'!C16</f>
        <v>205</v>
      </c>
      <c r="D16" s="242">
        <f t="shared" si="2"/>
        <v>205</v>
      </c>
      <c r="E16" s="242">
        <f>'32'!D16+'32'!E16+'32'!F16+'32'!G16</f>
        <v>205</v>
      </c>
      <c r="F16" s="242"/>
      <c r="G16" s="242">
        <f t="shared" si="3"/>
        <v>8348</v>
      </c>
      <c r="H16" s="242"/>
      <c r="I16" s="242"/>
      <c r="J16" s="242">
        <v>8553</v>
      </c>
      <c r="K16" s="10"/>
    </row>
    <row r="17" spans="1:11" ht="30.75" customHeight="1">
      <c r="A17" s="241">
        <v>9</v>
      </c>
      <c r="B17" s="242" t="s">
        <v>98</v>
      </c>
      <c r="C17" s="242">
        <f>'32'!C17</f>
        <v>271</v>
      </c>
      <c r="D17" s="242">
        <f t="shared" si="2"/>
        <v>271</v>
      </c>
      <c r="E17" s="242">
        <f>'32'!D17+'32'!E17+'32'!F17+'32'!G17</f>
        <v>271</v>
      </c>
      <c r="F17" s="242"/>
      <c r="G17" s="242">
        <f t="shared" si="3"/>
        <v>8924</v>
      </c>
      <c r="H17" s="242"/>
      <c r="I17" s="242"/>
      <c r="J17" s="242">
        <v>9195</v>
      </c>
      <c r="K17" s="10"/>
    </row>
    <row r="18" spans="1:11" ht="30.75" customHeight="1">
      <c r="A18" s="241">
        <v>10</v>
      </c>
      <c r="B18" s="242" t="s">
        <v>99</v>
      </c>
      <c r="C18" s="242">
        <f>'32'!C18</f>
        <v>180</v>
      </c>
      <c r="D18" s="242">
        <f t="shared" si="2"/>
        <v>180</v>
      </c>
      <c r="E18" s="242">
        <f>'32'!D18+'32'!E18+'32'!F18+'32'!G18</f>
        <v>180</v>
      </c>
      <c r="F18" s="242"/>
      <c r="G18" s="242">
        <f t="shared" si="3"/>
        <v>7355</v>
      </c>
      <c r="H18" s="242"/>
      <c r="I18" s="242"/>
      <c r="J18" s="242">
        <v>7535</v>
      </c>
      <c r="K18" s="10"/>
    </row>
    <row r="20" spans="1:11">
      <c r="J20" s="188"/>
    </row>
    <row r="21" spans="1:11">
      <c r="J21" s="188"/>
    </row>
  </sheetData>
  <mergeCells count="12">
    <mergeCell ref="A8:B8"/>
    <mergeCell ref="A5:A6"/>
    <mergeCell ref="B5:B6"/>
    <mergeCell ref="A2:J2"/>
    <mergeCell ref="C5:C6"/>
    <mergeCell ref="J5:J6"/>
    <mergeCell ref="A3:J3"/>
    <mergeCell ref="G4:J4"/>
    <mergeCell ref="H5:H6"/>
    <mergeCell ref="D5:F5"/>
    <mergeCell ref="G5:G6"/>
    <mergeCell ref="I5:I6"/>
  </mergeCells>
  <phoneticPr fontId="0" type="noConversion"/>
  <printOptions horizontalCentered="1"/>
  <pageMargins left="0.3" right="0.3" top="0.5" bottom="0.5" header="0.23622047244094499" footer="0.15748031496063"/>
  <pageSetup paperSize="9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8"/>
  <sheetViews>
    <sheetView workbookViewId="0">
      <selection activeCell="A3" sqref="A3:J3"/>
    </sheetView>
  </sheetViews>
  <sheetFormatPr defaultColWidth="9.140625" defaultRowHeight="15.75"/>
  <cols>
    <col min="1" max="1" width="6.28515625" style="70" customWidth="1"/>
    <col min="2" max="2" width="26" style="70" customWidth="1"/>
    <col min="3" max="3" width="11.140625" style="70" customWidth="1"/>
    <col min="4" max="4" width="16.140625" style="70" customWidth="1"/>
    <col min="5" max="5" width="18.28515625" style="70" bestFit="1" customWidth="1"/>
    <col min="6" max="6" width="7.85546875" style="70" hidden="1" customWidth="1"/>
    <col min="7" max="7" width="33.140625" style="70" hidden="1" customWidth="1"/>
    <col min="8" max="8" width="62.85546875" style="70" hidden="1" customWidth="1"/>
    <col min="9" max="9" width="23.140625" style="70" hidden="1" customWidth="1"/>
    <col min="10" max="10" width="16.7109375" style="70" customWidth="1"/>
    <col min="11" max="16384" width="9.140625" style="70"/>
  </cols>
  <sheetData>
    <row r="1" spans="1:10" ht="19.5" customHeight="1">
      <c r="A1" s="69"/>
      <c r="B1" s="69"/>
      <c r="D1" s="74"/>
      <c r="E1" s="380" t="s">
        <v>183</v>
      </c>
      <c r="F1" s="380"/>
      <c r="G1" s="380"/>
      <c r="H1" s="380"/>
      <c r="I1" s="380"/>
      <c r="J1" s="380"/>
    </row>
    <row r="2" spans="1:10" ht="39.75" customHeight="1">
      <c r="A2" s="381" t="s">
        <v>273</v>
      </c>
      <c r="B2" s="382"/>
      <c r="C2" s="382"/>
      <c r="D2" s="382"/>
      <c r="E2" s="382"/>
      <c r="F2" s="382"/>
      <c r="G2" s="382"/>
      <c r="H2" s="382"/>
      <c r="I2" s="382"/>
      <c r="J2" s="382"/>
    </row>
    <row r="3" spans="1:10" s="53" customFormat="1" ht="43.5" customHeight="1">
      <c r="A3" s="316" t="s">
        <v>297</v>
      </c>
      <c r="B3" s="316"/>
      <c r="C3" s="316"/>
      <c r="D3" s="316"/>
      <c r="E3" s="316"/>
      <c r="F3" s="316"/>
      <c r="G3" s="316"/>
      <c r="H3" s="316"/>
      <c r="I3" s="316"/>
      <c r="J3" s="316"/>
    </row>
    <row r="4" spans="1:10" ht="17.100000000000001" customHeight="1">
      <c r="B4" s="75"/>
      <c r="C4" s="71"/>
      <c r="E4" s="383" t="s">
        <v>223</v>
      </c>
      <c r="F4" s="383"/>
      <c r="G4" s="383"/>
      <c r="H4" s="383"/>
      <c r="I4" s="383"/>
      <c r="J4" s="383"/>
    </row>
    <row r="5" spans="1:10" ht="6.95" customHeight="1">
      <c r="C5" s="71"/>
      <c r="D5" s="71"/>
      <c r="E5" s="71"/>
      <c r="F5" s="71"/>
      <c r="G5" s="71"/>
      <c r="H5" s="71"/>
      <c r="I5" s="71"/>
      <c r="J5" s="71"/>
    </row>
    <row r="6" spans="1:10" s="74" customFormat="1" ht="22.5" customHeight="1">
      <c r="A6" s="384" t="s">
        <v>20</v>
      </c>
      <c r="B6" s="384" t="s">
        <v>12</v>
      </c>
      <c r="C6" s="385" t="s">
        <v>7</v>
      </c>
      <c r="D6" s="385" t="s">
        <v>58</v>
      </c>
      <c r="E6" s="385" t="s">
        <v>59</v>
      </c>
      <c r="F6" s="386" t="s">
        <v>193</v>
      </c>
      <c r="G6" s="386" t="s">
        <v>202</v>
      </c>
      <c r="H6" s="386" t="s">
        <v>195</v>
      </c>
      <c r="I6" s="386" t="s">
        <v>194</v>
      </c>
      <c r="J6" s="385" t="s">
        <v>295</v>
      </c>
    </row>
    <row r="7" spans="1:10" s="74" customFormat="1" ht="90" customHeight="1">
      <c r="A7" s="384"/>
      <c r="B7" s="384"/>
      <c r="C7" s="384"/>
      <c r="D7" s="384" t="s">
        <v>23</v>
      </c>
      <c r="E7" s="384" t="s">
        <v>23</v>
      </c>
      <c r="F7" s="387"/>
      <c r="G7" s="387"/>
      <c r="H7" s="387"/>
      <c r="I7" s="387"/>
      <c r="J7" s="384" t="s">
        <v>23</v>
      </c>
    </row>
    <row r="8" spans="1:10" s="74" customFormat="1" ht="22.5" customHeight="1">
      <c r="A8" s="166" t="s">
        <v>9</v>
      </c>
      <c r="B8" s="166" t="s">
        <v>10</v>
      </c>
      <c r="C8" s="166">
        <v>1</v>
      </c>
      <c r="D8" s="166">
        <v>2</v>
      </c>
      <c r="E8" s="166">
        <v>3</v>
      </c>
      <c r="F8" s="166"/>
      <c r="G8" s="166"/>
      <c r="H8" s="166"/>
      <c r="I8" s="166"/>
      <c r="J8" s="166">
        <v>4</v>
      </c>
    </row>
    <row r="9" spans="1:10" s="72" customFormat="1" ht="22.5" customHeight="1">
      <c r="A9" s="388" t="s">
        <v>4</v>
      </c>
      <c r="B9" s="389"/>
      <c r="C9" s="168">
        <f>SUM(C10,C21)</f>
        <v>10201</v>
      </c>
      <c r="D9" s="168">
        <f>SUM(D10,D21)</f>
        <v>0</v>
      </c>
      <c r="E9" s="168">
        <f>SUM(E10,E21)</f>
        <v>10201</v>
      </c>
      <c r="F9" s="168">
        <f t="shared" ref="F9:I9" si="0">SUM(F10,F21)</f>
        <v>1721.1031175059954</v>
      </c>
      <c r="G9" s="168">
        <f t="shared" si="0"/>
        <v>20</v>
      </c>
      <c r="H9" s="168">
        <f t="shared" si="0"/>
        <v>1762</v>
      </c>
      <c r="I9" s="168">
        <f t="shared" si="0"/>
        <v>821</v>
      </c>
      <c r="J9" s="168">
        <f>SUM(J10,J21)</f>
        <v>0</v>
      </c>
    </row>
    <row r="10" spans="1:10" s="73" customFormat="1" ht="72" customHeight="1">
      <c r="A10" s="167" t="s">
        <v>9</v>
      </c>
      <c r="B10" s="200" t="s">
        <v>225</v>
      </c>
      <c r="C10" s="169">
        <f>SUM(C11:C20)</f>
        <v>5970</v>
      </c>
      <c r="D10" s="169">
        <f>SUM(D11:D20)</f>
        <v>0</v>
      </c>
      <c r="E10" s="169">
        <f>SUM(E11:E20)</f>
        <v>5970</v>
      </c>
      <c r="F10" s="169">
        <f t="shared" ref="F10:I10" si="1">SUM(F11:F20)</f>
        <v>1721.1031175059954</v>
      </c>
      <c r="G10" s="169">
        <f t="shared" si="1"/>
        <v>20</v>
      </c>
      <c r="H10" s="169">
        <f>SUM(H11:H20)</f>
        <v>1762</v>
      </c>
      <c r="I10" s="169">
        <f t="shared" si="1"/>
        <v>821</v>
      </c>
      <c r="J10" s="169">
        <f>SUM(J11:J20)</f>
        <v>0</v>
      </c>
    </row>
    <row r="11" spans="1:10" ht="23.25" customHeight="1">
      <c r="A11" s="170">
        <v>1</v>
      </c>
      <c r="B11" s="171" t="s">
        <v>92</v>
      </c>
      <c r="C11" s="172">
        <f>E11</f>
        <v>477</v>
      </c>
      <c r="D11" s="172"/>
      <c r="E11" s="279">
        <v>477</v>
      </c>
      <c r="F11" s="173">
        <v>149.88009592326142</v>
      </c>
      <c r="G11" s="174">
        <v>2</v>
      </c>
      <c r="H11" s="174">
        <v>130</v>
      </c>
      <c r="I11" s="174">
        <f>20+5+5*7+1</f>
        <v>61</v>
      </c>
      <c r="J11" s="172"/>
    </row>
    <row r="12" spans="1:10" ht="23.25" customHeight="1">
      <c r="A12" s="170">
        <f>A11+1</f>
        <v>2</v>
      </c>
      <c r="B12" s="171" t="s">
        <v>93</v>
      </c>
      <c r="C12" s="172">
        <f t="shared" ref="C12:C21" si="2">E12</f>
        <v>923</v>
      </c>
      <c r="D12" s="172"/>
      <c r="E12" s="280">
        <v>923</v>
      </c>
      <c r="F12" s="173">
        <v>173.86091127098325</v>
      </c>
      <c r="G12" s="174">
        <v>2</v>
      </c>
      <c r="H12" s="174">
        <v>151</v>
      </c>
      <c r="I12" s="174">
        <f>20+5+11*5+11</f>
        <v>91</v>
      </c>
      <c r="J12" s="172"/>
    </row>
    <row r="13" spans="1:10" ht="23.25" customHeight="1">
      <c r="A13" s="170">
        <f t="shared" ref="A13:A20" si="3">A12+1</f>
        <v>3</v>
      </c>
      <c r="B13" s="171" t="s">
        <v>94</v>
      </c>
      <c r="C13" s="172">
        <f t="shared" si="2"/>
        <v>882</v>
      </c>
      <c r="D13" s="172"/>
      <c r="E13" s="280">
        <v>882</v>
      </c>
      <c r="F13" s="173">
        <v>168.34532374100723</v>
      </c>
      <c r="G13" s="174">
        <v>2</v>
      </c>
      <c r="H13" s="174">
        <v>138</v>
      </c>
      <c r="I13" s="174">
        <f>20+5+10*5+6</f>
        <v>81</v>
      </c>
      <c r="J13" s="172"/>
    </row>
    <row r="14" spans="1:10" ht="23.25" customHeight="1">
      <c r="A14" s="170">
        <f t="shared" si="3"/>
        <v>4</v>
      </c>
      <c r="B14" s="171" t="s">
        <v>95</v>
      </c>
      <c r="C14" s="172">
        <f t="shared" si="2"/>
        <v>494</v>
      </c>
      <c r="D14" s="172"/>
      <c r="E14" s="279">
        <v>494</v>
      </c>
      <c r="F14" s="173">
        <v>131.89448441247004</v>
      </c>
      <c r="G14" s="174">
        <v>2</v>
      </c>
      <c r="H14" s="174">
        <v>126</v>
      </c>
      <c r="I14" s="174">
        <f>20+5+11*5+11</f>
        <v>91</v>
      </c>
      <c r="J14" s="172"/>
    </row>
    <row r="15" spans="1:10" ht="23.25" customHeight="1">
      <c r="A15" s="170">
        <f t="shared" si="3"/>
        <v>5</v>
      </c>
      <c r="B15" s="171" t="s">
        <v>96</v>
      </c>
      <c r="C15" s="172">
        <f t="shared" si="2"/>
        <v>548</v>
      </c>
      <c r="D15" s="172"/>
      <c r="E15" s="280">
        <v>548</v>
      </c>
      <c r="F15" s="173">
        <v>185.85131894484417</v>
      </c>
      <c r="G15" s="174">
        <v>2</v>
      </c>
      <c r="H15" s="174">
        <v>279</v>
      </c>
      <c r="I15" s="174">
        <f>25+5+11*5+7</f>
        <v>92</v>
      </c>
      <c r="J15" s="172"/>
    </row>
    <row r="16" spans="1:10" ht="23.25" customHeight="1">
      <c r="A16" s="170">
        <f t="shared" si="3"/>
        <v>6</v>
      </c>
      <c r="B16" s="171" t="s">
        <v>250</v>
      </c>
      <c r="C16" s="172">
        <f t="shared" si="2"/>
        <v>557</v>
      </c>
      <c r="D16" s="172"/>
      <c r="E16" s="280">
        <v>557</v>
      </c>
      <c r="F16" s="173">
        <v>203.83693045563552</v>
      </c>
      <c r="G16" s="174">
        <v>2</v>
      </c>
      <c r="H16" s="174">
        <v>298</v>
      </c>
      <c r="I16" s="174">
        <f>25+5+11*5+6+1</f>
        <v>92</v>
      </c>
      <c r="J16" s="172"/>
    </row>
    <row r="17" spans="1:10" ht="23.25" customHeight="1">
      <c r="A17" s="170">
        <f t="shared" si="3"/>
        <v>7</v>
      </c>
      <c r="B17" s="171" t="s">
        <v>97</v>
      </c>
      <c r="C17" s="172">
        <f t="shared" si="2"/>
        <v>516</v>
      </c>
      <c r="D17" s="172"/>
      <c r="E17" s="280">
        <v>516</v>
      </c>
      <c r="F17" s="173">
        <v>197.84172661870505</v>
      </c>
      <c r="G17" s="174">
        <v>2</v>
      </c>
      <c r="H17" s="174">
        <v>130</v>
      </c>
      <c r="I17" s="174">
        <f>25+5+8*5</f>
        <v>70</v>
      </c>
      <c r="J17" s="172"/>
    </row>
    <row r="18" spans="1:10" ht="23.25" customHeight="1">
      <c r="A18" s="170">
        <f t="shared" si="3"/>
        <v>8</v>
      </c>
      <c r="B18" s="171" t="s">
        <v>224</v>
      </c>
      <c r="C18" s="172">
        <f t="shared" si="2"/>
        <v>541</v>
      </c>
      <c r="D18" s="172"/>
      <c r="E18" s="280">
        <v>541</v>
      </c>
      <c r="F18" s="173">
        <v>179.85611510791369</v>
      </c>
      <c r="G18" s="174">
        <v>2</v>
      </c>
      <c r="H18" s="174">
        <v>247</v>
      </c>
      <c r="I18" s="174">
        <f>25+5+9*5+8</f>
        <v>83</v>
      </c>
      <c r="J18" s="172"/>
    </row>
    <row r="19" spans="1:10" ht="23.25" customHeight="1">
      <c r="A19" s="170">
        <f t="shared" si="3"/>
        <v>9</v>
      </c>
      <c r="B19" s="171" t="s">
        <v>98</v>
      </c>
      <c r="C19" s="172">
        <f t="shared" si="2"/>
        <v>544</v>
      </c>
      <c r="D19" s="172"/>
      <c r="E19" s="280">
        <v>544</v>
      </c>
      <c r="F19" s="173">
        <v>167.86570743405278</v>
      </c>
      <c r="G19" s="174">
        <v>2</v>
      </c>
      <c r="H19" s="174">
        <v>122</v>
      </c>
      <c r="I19" s="174">
        <f>20+5+10*5+3</f>
        <v>78</v>
      </c>
      <c r="J19" s="172"/>
    </row>
    <row r="20" spans="1:10" ht="23.25" customHeight="1">
      <c r="A20" s="170">
        <f t="shared" si="3"/>
        <v>10</v>
      </c>
      <c r="B20" s="171" t="s">
        <v>99</v>
      </c>
      <c r="C20" s="172">
        <f t="shared" si="2"/>
        <v>488</v>
      </c>
      <c r="D20" s="172"/>
      <c r="E20" s="280">
        <v>488</v>
      </c>
      <c r="F20" s="173">
        <v>161.87050359712231</v>
      </c>
      <c r="G20" s="174">
        <v>2</v>
      </c>
      <c r="H20" s="174">
        <v>141</v>
      </c>
      <c r="I20" s="174">
        <f>25+5+9*5+7</f>
        <v>82</v>
      </c>
      <c r="J20" s="172"/>
    </row>
    <row r="21" spans="1:10" s="73" customFormat="1" ht="74.25" customHeight="1">
      <c r="A21" s="201" t="s">
        <v>10</v>
      </c>
      <c r="B21" s="200" t="s">
        <v>226</v>
      </c>
      <c r="C21" s="169">
        <f t="shared" si="2"/>
        <v>4231</v>
      </c>
      <c r="D21" s="169"/>
      <c r="E21" s="244">
        <v>4231</v>
      </c>
      <c r="F21" s="169"/>
      <c r="G21" s="169"/>
      <c r="H21" s="169"/>
      <c r="I21" s="169"/>
      <c r="J21" s="169"/>
    </row>
    <row r="25" spans="1:10">
      <c r="E25" s="186"/>
    </row>
    <row r="26" spans="1:10">
      <c r="E26" s="186"/>
    </row>
    <row r="28" spans="1:10">
      <c r="E28" s="186"/>
    </row>
  </sheetData>
  <mergeCells count="15">
    <mergeCell ref="A9:B9"/>
    <mergeCell ref="H6:H7"/>
    <mergeCell ref="I6:I7"/>
    <mergeCell ref="J6:J7"/>
    <mergeCell ref="F6:F7"/>
    <mergeCell ref="E1:J1"/>
    <mergeCell ref="A2:J2"/>
    <mergeCell ref="A3:J3"/>
    <mergeCell ref="E4:J4"/>
    <mergeCell ref="A6:A7"/>
    <mergeCell ref="B6:B7"/>
    <mergeCell ref="C6:C7"/>
    <mergeCell ref="D6:D7"/>
    <mergeCell ref="E6:E7"/>
    <mergeCell ref="G6:G7"/>
  </mergeCells>
  <printOptions horizontalCentered="1"/>
  <pageMargins left="0.3" right="0.3" top="0.5" bottom="0.5" header="0.31496062992126" footer="0.31496062992126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34</vt:lpstr>
      <vt:lpstr>37</vt:lpstr>
      <vt:lpstr>15-CK</vt:lpstr>
      <vt:lpstr>30-CK</vt:lpstr>
      <vt:lpstr>16-CK</vt:lpstr>
      <vt:lpstr>17-CK</vt:lpstr>
      <vt:lpstr>33</vt:lpstr>
      <vt:lpstr>39-CK</vt:lpstr>
      <vt:lpstr>42</vt:lpstr>
      <vt:lpstr>32</vt:lpstr>
      <vt:lpstr>'15-CK'!Print_Area</vt:lpstr>
      <vt:lpstr>'16-CK'!Print_Area</vt:lpstr>
      <vt:lpstr>'17-CK'!Print_Area</vt:lpstr>
      <vt:lpstr>'30-CK'!Print_Area</vt:lpstr>
      <vt:lpstr>'32'!Print_Area</vt:lpstr>
      <vt:lpstr>'33'!Print_Area</vt:lpstr>
      <vt:lpstr>'34'!Print_Area</vt:lpstr>
      <vt:lpstr>'37'!Print_Area</vt:lpstr>
      <vt:lpstr>'39-CK'!Print_Area</vt:lpstr>
      <vt:lpstr>'42'!Print_Area</vt:lpstr>
      <vt:lpstr>'15-CK'!Print_Titles</vt:lpstr>
      <vt:lpstr>'16-CK'!Print_Titles</vt:lpstr>
      <vt:lpstr>'17-CK'!Print_Titles</vt:lpstr>
      <vt:lpstr>'30-CK'!Print_Titles</vt:lpstr>
      <vt:lpstr>'33'!Print_Titles</vt:lpstr>
      <vt:lpstr>'34'!Print_Titles</vt:lpstr>
      <vt:lpstr>'37'!Print_Titles</vt:lpstr>
      <vt:lpstr>'39-CK'!Print_Titles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Linh Chi</dc:creator>
  <cp:lastModifiedBy>vinh quang</cp:lastModifiedBy>
  <cp:lastPrinted>2024-12-08T04:07:32Z</cp:lastPrinted>
  <dcterms:created xsi:type="dcterms:W3CDTF">2003-07-08T15:05:47Z</dcterms:created>
  <dcterms:modified xsi:type="dcterms:W3CDTF">2024-12-13T11:43:56Z</dcterms:modified>
</cp:coreProperties>
</file>